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696" windowHeight="6432" activeTab="4"/>
  </bookViews>
  <sheets>
    <sheet name="vod-1 ksl" sheetId="1" r:id="rId1"/>
    <sheet name="vod-2 ksl" sheetId="2" r:id="rId2"/>
    <sheet name="vod-3 ksl" sheetId="3" r:id="rId3"/>
    <sheet name="vod-4" sheetId="4" r:id="rId4"/>
    <sheet name="vod-5 ksl" sheetId="5" r:id="rId5"/>
  </sheets>
  <definedNames/>
  <calcPr fullCalcOnLoad="1"/>
</workbook>
</file>

<file path=xl/sharedStrings.xml><?xml version="1.0" encoding="utf-8"?>
<sst xmlns="http://schemas.openxmlformats.org/spreadsheetml/2006/main" count="589" uniqueCount="315">
  <si>
    <t>№</t>
  </si>
  <si>
    <t>V</t>
  </si>
  <si>
    <t>Сроки</t>
  </si>
  <si>
    <t>К-4 и К-2</t>
  </si>
  <si>
    <t>Вахов Армут Идиятович, г.Уфа</t>
  </si>
  <si>
    <t>р.Мал.Сумульта - р.Бол.Сумульта - р.Катунь</t>
  </si>
  <si>
    <t>Ранг соревнований:</t>
  </si>
  <si>
    <t xml:space="preserve">Класс: </t>
  </si>
  <si>
    <t>Вид туризма:</t>
  </si>
  <si>
    <t>ТУРИСТСКО-СПОРТИВНЫЙ СОЮЗ РОССИИ - ФЕДЕРАЦИЯ СПОРТИВНОГО ТУРИЗМА РОССИИ</t>
  </si>
  <si>
    <t>МИНИСТЕРСТВО ПО ФИЗИЧЕСКОЙ КУЛЬТУРЕ, СПОРТУ И ТУРИЗМУ РЕСПУБЛИКИ БАШКОРТОСТАН</t>
  </si>
  <si>
    <t>ТУРИСТСКО-СПОРТИВНЫЙ СОЮЗ РЕСПУБЛИКИ БАШКОРТОСТАН</t>
  </si>
  <si>
    <t>ИТОГОВЫЙ ПРОТОКОЛ</t>
  </si>
  <si>
    <t>Маршрут</t>
  </si>
  <si>
    <t>К.сл.</t>
  </si>
  <si>
    <t>Место</t>
  </si>
  <si>
    <t>№ отчёта</t>
  </si>
  <si>
    <t>ФИО</t>
  </si>
  <si>
    <t>Команда</t>
  </si>
  <si>
    <t>Число уч-в</t>
  </si>
  <si>
    <t>Суда</t>
  </si>
  <si>
    <t>Район</t>
  </si>
  <si>
    <t>М.А. Верхотуров,</t>
  </si>
  <si>
    <t>Ю.А.Перескоков</t>
  </si>
  <si>
    <t>Судья по виду:</t>
  </si>
  <si>
    <t>Н.М.Игнатьев</t>
  </si>
  <si>
    <t>В2003-05</t>
  </si>
  <si>
    <t>Овчинников Юрий Геннадиевич, г.Уфа</t>
  </si>
  <si>
    <t>Турклуб "Энергетик", турсекция "Мегаватт", г.Уфа</t>
  </si>
  <si>
    <t>К-2 и К-4</t>
  </si>
  <si>
    <t>Алтай-2003</t>
  </si>
  <si>
    <t>V - водный, + II - пеший</t>
  </si>
  <si>
    <t>р.Кучерла-р.Катунь-р.Аргут-р.Чуя-р.Катунь</t>
  </si>
  <si>
    <t>31.07-28.08.2003 г.</t>
  </si>
  <si>
    <t>Первопрохождение связки рек, образцовый отчёт</t>
  </si>
  <si>
    <t>есть</t>
  </si>
  <si>
    <t>В2003-07</t>
  </si>
  <si>
    <t>Сб.команда Уфы. Орска, Сургута</t>
  </si>
  <si>
    <t>К-1 (2 шт.) , К-2 (2 шт.)</t>
  </si>
  <si>
    <t>р.М.Сумульта-р.Сумульта-р.Катунь</t>
  </si>
  <si>
    <t>18.07-2.08.2003</t>
  </si>
  <si>
    <t>есть на CD + в/ф.</t>
  </si>
  <si>
    <t>В2003-14</t>
  </si>
  <si>
    <t>Мельников Вадим Борисович, г.Уфа</t>
  </si>
  <si>
    <t>Сб.команда тур.-спорт.клубов г.Уфы, команда "Легион"</t>
  </si>
  <si>
    <t>р.Шавла-р.Аргут-р.Катунь</t>
  </si>
  <si>
    <t>2-23.08.2003 г.</t>
  </si>
  <si>
    <t>В2002-29</t>
  </si>
  <si>
    <t>Илистанов Рафаэль Рашитович, г.Уфа</t>
  </si>
  <si>
    <t>Сб.команда т/к "Энергетик" и "Комета", г.Уфа</t>
  </si>
  <si>
    <t>Северный Тянь-Шань-2002</t>
  </si>
  <si>
    <t>р.Чонг-Кемин</t>
  </si>
  <si>
    <t>14.09-4.10.2002</t>
  </si>
  <si>
    <t>нет</t>
  </si>
  <si>
    <t>В2001-11</t>
  </si>
  <si>
    <t>Никифоров Олег Владимирович, г.Уфа</t>
  </si>
  <si>
    <t>Турклуб "Энергетик", г.Уфа</t>
  </si>
  <si>
    <t>Алтай-2001</t>
  </si>
  <si>
    <t>8-28.07.2001 г.</t>
  </si>
  <si>
    <t>В1999-11</t>
  </si>
  <si>
    <t>Сб.г.Уфы</t>
  </si>
  <si>
    <t>К-4, К-2</t>
  </si>
  <si>
    <t>р.Утулик-р.Хара-Мурин</t>
  </si>
  <si>
    <t>7.08-4.09.1999 г.</t>
  </si>
  <si>
    <t>В2003-15</t>
  </si>
  <si>
    <t>Тарасов Константин Викторович, г.Уфа</t>
  </si>
  <si>
    <t>Турклуб "Каскад", г.Уфа</t>
  </si>
  <si>
    <t>К-2</t>
  </si>
  <si>
    <t>Вост.Саян-2003</t>
  </si>
  <si>
    <t>р.Китой</t>
  </si>
  <si>
    <t>23.08-17.09.2003 г.</t>
  </si>
  <si>
    <t>на ГМД</t>
  </si>
  <si>
    <t>В2003-18</t>
  </si>
  <si>
    <t>Чулков Александр Иванович, г.Белебей</t>
  </si>
  <si>
    <t>Белебеевский спортивно-туристский клуб "Бескит"</t>
  </si>
  <si>
    <t>К-2, К-4</t>
  </si>
  <si>
    <t>IV усл.</t>
  </si>
  <si>
    <t>р.Чуя-р.Катунь от п.Чибит</t>
  </si>
  <si>
    <t>8-24.08.2003 г.</t>
  </si>
  <si>
    <t>Судья по виду,</t>
  </si>
  <si>
    <t xml:space="preserve">гл.секретарь:                                      </t>
  </si>
  <si>
    <t>Нал.эл.версии, примечания</t>
  </si>
  <si>
    <t>Открытый чемпионат Республики Башкортостан - чемпионат Урала по спортивному туризму 2003 г., г.Уфа, 31.03.2004 г.</t>
  </si>
  <si>
    <t>Хамар-Дабан-1999</t>
  </si>
  <si>
    <t>хороший отчёт, фото похода заняли неск.призовых мест на 6-м Республ. конкурсе фото-видео 2003 г.</t>
  </si>
  <si>
    <t>сложность</t>
  </si>
  <si>
    <t>новизна</t>
  </si>
  <si>
    <t>безопасн.</t>
  </si>
  <si>
    <t>напряж.</t>
  </si>
  <si>
    <t>полезн.</t>
  </si>
  <si>
    <t>сумаа баллов</t>
  </si>
  <si>
    <t>Хороший фото-отчёт, но после 2-х лет</t>
  </si>
  <si>
    <t>слабый отчёт, Завлялась 5 к.сл. Пройден запасной маршрут</t>
  </si>
  <si>
    <t>Высокая сложность. Но нарушения при заявке. Не был заявлен в БашРМКК. Зачтён Челябинской областной МКК всем как 5 (участие). Отчёт хороший.</t>
  </si>
  <si>
    <t>Хороший отчёт, заявлен и защищён в ЦМКК. Новое судно - К-1. Хороший отчёт, видефильм и слайд-шоу</t>
  </si>
  <si>
    <t>Хороший отчёт, но после 4-х лет</t>
  </si>
  <si>
    <t>пройдена стандартная "пятёрка"при мин.уровне воды, обносы, одно судно в нижней части каньона, минимальная безопасность при 4-х чел., очень слабый отчёт</t>
  </si>
  <si>
    <t>гл.судья</t>
  </si>
  <si>
    <t>судья I категории,МСМК</t>
  </si>
  <si>
    <t>судья I категории, КМС</t>
  </si>
  <si>
    <t>судья I категории, МС</t>
  </si>
  <si>
    <t>"А" - "Спортивные походы"</t>
  </si>
  <si>
    <t>Водный, подгруппа "5 к.сл."</t>
  </si>
  <si>
    <t>Водный, подгруппа "4 к.сл."</t>
  </si>
  <si>
    <t>№ п/п</t>
  </si>
  <si>
    <t>Камский Михаил Яковлевич, г.Уфа</t>
  </si>
  <si>
    <t>Комбинир. - авто-II к.сл + водный IV к.сл. (ВАЗ-21110, ГАЗ-31029, байдарки)</t>
  </si>
  <si>
    <t>Карелия и Кольский полуостров - 2003</t>
  </si>
  <si>
    <t>Водный - р.Териберка - р.Умба - р.Водла</t>
  </si>
  <si>
    <t>II - авто, IV - водный</t>
  </si>
  <si>
    <t>13.07-8.08.2003 г.</t>
  </si>
  <si>
    <t>А2003-01/  В2003-17</t>
  </si>
  <si>
    <t>на ЧР-2003 (по водному)</t>
  </si>
  <si>
    <t>Акт.часть - авто - 8031 км, водный - 208 км. Первопрохождение 9 порогов на р.Териберка (паспорта порогов). Хороший отчёт, отмечен ЦМКК</t>
  </si>
  <si>
    <t>Хабирьянов Тагир Фанилович</t>
  </si>
  <si>
    <t>ТСК "Дервиш", г.Уфа</t>
  </si>
  <si>
    <t>Саян</t>
  </si>
  <si>
    <t>р.Улуг-О</t>
  </si>
  <si>
    <t>24.07-13.08.2003</t>
  </si>
  <si>
    <t xml:space="preserve"> - </t>
  </si>
  <si>
    <t>отчёт требует доработки</t>
  </si>
  <si>
    <t>Окишев Александр Викторович</t>
  </si>
  <si>
    <t>т/к "Энергетик", г.Уфа</t>
  </si>
  <si>
    <t>К-2, 3 шт.</t>
  </si>
  <si>
    <t>Зап.Саян-2003</t>
  </si>
  <si>
    <t>р.Она-рАбакан</t>
  </si>
  <si>
    <t xml:space="preserve">IV </t>
  </si>
  <si>
    <t>20.07-12.08.2002</t>
  </si>
  <si>
    <t>Корсаков Геннадий Викторович</t>
  </si>
  <si>
    <t>ТОК "Семья"</t>
  </si>
  <si>
    <t>К-4, 2 шт.</t>
  </si>
  <si>
    <t>Амурская обл., Хабаровский край</t>
  </si>
  <si>
    <t>р.Акишма-р.Ниман-р.Бурея</t>
  </si>
  <si>
    <t>31.05-14.06.2003</t>
  </si>
  <si>
    <t>В2003-30</t>
  </si>
  <si>
    <t>Первопрохождение маршрута в своё время - Вахов А.И., член ОМКК</t>
  </si>
  <si>
    <t>Пестов Николай Михайлович, г.Уфа</t>
  </si>
  <si>
    <t>Турклуб "Комета", г.Уфа</t>
  </si>
  <si>
    <t>IV</t>
  </si>
  <si>
    <t>7.07-21.07.2003</t>
  </si>
  <si>
    <t>В2003-03</t>
  </si>
  <si>
    <t>направлен на ЧР-2003</t>
  </si>
  <si>
    <t>норм.отчёт</t>
  </si>
  <si>
    <t>Яковец Александр Владимирович</t>
  </si>
  <si>
    <t>Сб.Башкортостана (4 города)</t>
  </si>
  <si>
    <t>Алтай</t>
  </si>
  <si>
    <t>р.Кокса-р.Катунь</t>
  </si>
  <si>
    <t>2-18.08.2003</t>
  </si>
  <si>
    <t>ТСК "Комета", г.Уфа</t>
  </si>
  <si>
    <t>Алтай-2002</t>
  </si>
  <si>
    <t>р.Чуя-р.Катунь (пос.Чибит-пос.Бол.Яломан)</t>
  </si>
  <si>
    <t>зачтено как IV-путешествие участникам, рук-лю - IIIР</t>
  </si>
  <si>
    <t>9-24.08.2002 г.</t>
  </si>
  <si>
    <t>В2002-27</t>
  </si>
  <si>
    <t>слабое прохождение, средний отчёт</t>
  </si>
  <si>
    <t>Судьи по виду:</t>
  </si>
  <si>
    <t>Ю.Г.Овчинников</t>
  </si>
  <si>
    <t>Гл.судья</t>
  </si>
  <si>
    <t>М.А.Верхотуров</t>
  </si>
  <si>
    <t xml:space="preserve"> судья I категории, КМС</t>
  </si>
  <si>
    <t>судья I категории, МСМК</t>
  </si>
  <si>
    <t>М.А.Сергеев</t>
  </si>
  <si>
    <t>Р.Р.Илистанов</t>
  </si>
  <si>
    <t>Водный, подгруппа "3 к.сл."</t>
  </si>
  <si>
    <t>Юж.Урал-2003</t>
  </si>
  <si>
    <t>р.Березяк-р.Юрюзань-р.Бол.Катав-р.Катав-р.Лемеза-р.Мал.Инзер</t>
  </si>
  <si>
    <t>III</t>
  </si>
  <si>
    <t>30.04-10.05.2003 г.</t>
  </si>
  <si>
    <t>В2003-04</t>
  </si>
  <si>
    <t>Первопрохождение связки рек - "Пятиречье", второй офиц.отчёт по рекам р.Березяк и р.Юрюзань (эл. 4 к.сл.)</t>
  </si>
  <si>
    <t>Суперфин Дмитрий Эдуардович</t>
  </si>
  <si>
    <t>ТСС РБ, г.Уфа</t>
  </si>
  <si>
    <t>р.Мал.Инзер-р.Лемеза-р.Сакмара-р.Березяк</t>
  </si>
  <si>
    <t>28.04-11.05.2003</t>
  </si>
  <si>
    <t>новая связка рек</t>
  </si>
  <si>
    <t>Сивоконь Эдуард Станиславович, Ананьин Игорь Петрович, г.Магнитогорск</t>
  </si>
  <si>
    <t>Сб.команда (две группы) г.Магнитогорск</t>
  </si>
  <si>
    <t>К-4</t>
  </si>
  <si>
    <t>Юж.Урал-2002</t>
  </si>
  <si>
    <t>р.Юрюзань-р.Березяк-р.Юрюзань-р.Лемеза</t>
  </si>
  <si>
    <t>28.04-12.05.2002 г.</t>
  </si>
  <si>
    <t>В2002-28</t>
  </si>
  <si>
    <t>есть, + видео на CD</t>
  </si>
  <si>
    <t>хроший отчёт,  заброска из пос. Верхнеаршинский</t>
  </si>
  <si>
    <t>Маричев Юрий Валентинович, г.Кумертау</t>
  </si>
  <si>
    <t>ДЮПЦ "Школа выживания", г.Кумертау</t>
  </si>
  <si>
    <t>р.Бол.Инзер (с верховьев)-р.Мал.Инзер-р.Инзер-р.Лемеза</t>
  </si>
  <si>
    <t>1-11.05.2003 г.</t>
  </si>
  <si>
    <t>В2003-16</t>
  </si>
  <si>
    <t>очень хороший отчёт. Молодцы, что смогли прорваться на р.Бол.Инзер, в верховьях - лёд</t>
  </si>
  <si>
    <t>Юмагузина Гульсум Ханифовна</t>
  </si>
  <si>
    <t>ТСК "Айгир", г.Уфа</t>
  </si>
  <si>
    <t>Зап.Саян</t>
  </si>
  <si>
    <t>р.Она-р.Абакан</t>
  </si>
  <si>
    <t>7-21.07.2003</t>
  </si>
  <si>
    <t>В2003-23</t>
  </si>
  <si>
    <t>прохождение параллельно группе Н.Пестова, г.Уфа</t>
  </si>
  <si>
    <t>Латыпов Искандер Нурисламович</t>
  </si>
  <si>
    <t>т/к "Ягуар", г.Уфа</t>
  </si>
  <si>
    <t>Карелия</t>
  </si>
  <si>
    <t>р.Охта</t>
  </si>
  <si>
    <t>4-25.08.2003</t>
  </si>
  <si>
    <t>В2003-24</t>
  </si>
  <si>
    <t>полный отчёт</t>
  </si>
  <si>
    <t>Водный, подгруппа " 2 к.сл."</t>
  </si>
  <si>
    <t>Смирнов Леонид Юрьевич</t>
  </si>
  <si>
    <t>Т/к "ИКАР", г.Уфа</t>
  </si>
  <si>
    <t>кат-ны</t>
  </si>
  <si>
    <t>Юж.Урал</t>
  </si>
  <si>
    <t>р.Зилим+пещ."Победа"</t>
  </si>
  <si>
    <t>II</t>
  </si>
  <si>
    <t>30.04-07.05.2003</t>
  </si>
  <si>
    <t>В2003-02</t>
  </si>
  <si>
    <t>на CD</t>
  </si>
  <si>
    <t>Образцовый отчёт</t>
  </si>
  <si>
    <t>Черкашин Денис Евгеньевич</t>
  </si>
  <si>
    <t>г.Екатеринбург</t>
  </si>
  <si>
    <t>Приполярный Урал</t>
  </si>
  <si>
    <t>р.Манарага-р.Косью</t>
  </si>
  <si>
    <t>25.07-20.08.2003</t>
  </si>
  <si>
    <t>В2000-11</t>
  </si>
  <si>
    <t>слабый отчёт</t>
  </si>
  <si>
    <t>Камский Михаил Яковлевич</t>
  </si>
  <si>
    <t>Т/к "Каскад", г.Уфа</t>
  </si>
  <si>
    <t>байдарка "Таймень"</t>
  </si>
  <si>
    <t>участие в "Марафоне-2003"</t>
  </si>
  <si>
    <t>р.Бол.Инзер (от п.Картали") - р.Мал.Инзер</t>
  </si>
  <si>
    <t>30.04-11.05.2003</t>
  </si>
  <si>
    <t>Возвращён в т/к "Каскад</t>
  </si>
  <si>
    <t>Прекрасный отчёт</t>
  </si>
  <si>
    <t>Искандаров Айдар</t>
  </si>
  <si>
    <t>п.Авдон, Башкортостан</t>
  </si>
  <si>
    <t>р.Тумча</t>
  </si>
  <si>
    <t>II с эл. IV</t>
  </si>
  <si>
    <t xml:space="preserve"> июль 2003 г.</t>
  </si>
  <si>
    <t>Корнилов Валентин</t>
  </si>
  <si>
    <t>Т/к "Дервиш"</t>
  </si>
  <si>
    <t>29.04-6.05.2003</t>
  </si>
  <si>
    <t xml:space="preserve"> 5-7</t>
  </si>
  <si>
    <t>фото-альбом, возвращен в т/к "Дервиш"</t>
  </si>
  <si>
    <t>Великомолов О.Б.</t>
  </si>
  <si>
    <t>фото-газета, возвращена в т/к "Каскад"</t>
  </si>
  <si>
    <t>Хабирьянов Флюс</t>
  </si>
  <si>
    <t>Т/к "Дервиш", г.Уфа</t>
  </si>
  <si>
    <t>К-4, каяк</t>
  </si>
  <si>
    <t>А.И.Вахов</t>
  </si>
  <si>
    <t>Водный, подгруппа "1 к.сл."</t>
  </si>
  <si>
    <t>Вахов Армут Идиятович</t>
  </si>
  <si>
    <t>т/к "Башнефть", г.Уфа</t>
  </si>
  <si>
    <t xml:space="preserve">К-1 </t>
  </si>
  <si>
    <t>р.Миньяр</t>
  </si>
  <si>
    <t>I с эл. IV</t>
  </si>
  <si>
    <t>30.04-5.05.2003</t>
  </si>
  <si>
    <t>В2003-08</t>
  </si>
  <si>
    <t>есть + слайд-шоу+в/фильм на CD</t>
  </si>
  <si>
    <t>первопрохождение</t>
  </si>
  <si>
    <t>Котегов Владимир Николаевич</t>
  </si>
  <si>
    <t>т/к "Каскад", г.Уфа</t>
  </si>
  <si>
    <t>ПСН, лодки</t>
  </si>
  <si>
    <t>Ср.Урал</t>
  </si>
  <si>
    <t>р.Усьва</t>
  </si>
  <si>
    <t>I</t>
  </si>
  <si>
    <t>21.06-5.07.2003</t>
  </si>
  <si>
    <t>возвращён в т/к "Каскад"</t>
  </si>
  <si>
    <t>ориг.фото-отчёт, хотя и не в соотв. с треб.</t>
  </si>
  <si>
    <t>Бадретдинов Фанур Инсафетдиновтч</t>
  </si>
  <si>
    <t>т/к "Вита", г.Уфа</t>
  </si>
  <si>
    <t>катамараны</t>
  </si>
  <si>
    <t>р.Сылва</t>
  </si>
  <si>
    <t>19.07-4.08.2003</t>
  </si>
  <si>
    <t>В2003-10</t>
  </si>
  <si>
    <t>Лысенков Юрий Владимирович</t>
  </si>
  <si>
    <t>В2003-01</t>
  </si>
  <si>
    <t xml:space="preserve"> нет</t>
  </si>
  <si>
    <t>полный образцовый отчёт</t>
  </si>
  <si>
    <t>Васьков Сергей</t>
  </si>
  <si>
    <t>г.Москва</t>
  </si>
  <si>
    <t>лодки, катамараны</t>
  </si>
  <si>
    <t>р.Зилим</t>
  </si>
  <si>
    <t>август 2003 г.</t>
  </si>
  <si>
    <t>несколько оригинальный отчёт,но не предназначенный для массового использования</t>
  </si>
  <si>
    <t>Матрёнин Алексей Владимирович</t>
  </si>
  <si>
    <t>Т/к "Бриз", г.Уфа</t>
  </si>
  <si>
    <t>байдарки, катамараны</t>
  </si>
  <si>
    <t>р.Нугуш</t>
  </si>
  <si>
    <t>июнь 2003 г.</t>
  </si>
  <si>
    <t>В2003-22</t>
  </si>
  <si>
    <t>практически полный отчёт</t>
  </si>
  <si>
    <t>Рахимов Винер</t>
  </si>
  <si>
    <t>Т/к "Феникс", г.Салават</t>
  </si>
  <si>
    <t>лодки, катамараны, байдарки</t>
  </si>
  <si>
    <t>р.Белая</t>
  </si>
  <si>
    <t xml:space="preserve"> -</t>
  </si>
  <si>
    <t>отчёт-раскладушка</t>
  </si>
  <si>
    <t>Мочкин Евгений Александрович</t>
  </si>
  <si>
    <t>рафт</t>
  </si>
  <si>
    <t xml:space="preserve">р.Мал.Инзер-р.Изер </t>
  </si>
  <si>
    <t xml:space="preserve">I </t>
  </si>
  <si>
    <t>байдарки, лодки</t>
  </si>
  <si>
    <t xml:space="preserve"> июль 2003</t>
  </si>
  <si>
    <t>г.Уфа</t>
  </si>
  <si>
    <t>р.Бол.Нугуш - р.Нугуш</t>
  </si>
  <si>
    <t xml:space="preserve"> май 2002</t>
  </si>
  <si>
    <t>В-2000-10</t>
  </si>
  <si>
    <t>отчёт не соотв.треб.</t>
  </si>
  <si>
    <t>Абдракипова Аделя Ринатовна</t>
  </si>
  <si>
    <t>лодка, рафт</t>
  </si>
  <si>
    <t>В-2002-26</t>
  </si>
  <si>
    <t>Давлетшин  М.Н.</t>
  </si>
  <si>
    <t>р.Бол.Инзер-р.Инзер</t>
  </si>
  <si>
    <t>июль 2003 г.</t>
  </si>
  <si>
    <t>В2003-17</t>
  </si>
  <si>
    <t>крайне слабый отчёт</t>
  </si>
  <si>
    <t xml:space="preserve">судья I категории, КМС </t>
  </si>
  <si>
    <t xml:space="preserve">судья I категории, МС </t>
  </si>
</sst>
</file>

<file path=xl/styles.xml><?xml version="1.0" encoding="utf-8"?>
<styleSheet xmlns="http://schemas.openxmlformats.org/spreadsheetml/2006/main">
  <numFmts count="29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 _-;\-* #,##0_ _-;_-* &quot;-&quot;_ _-;_-@_-"/>
    <numFmt numFmtId="44" formatCode="_-* #,##0.00&quot; &quot;_-;\-* #,##0.00&quot; &quot;_-;_-* &quot;-&quot;??&quot; &quot;_-;_-@_-"/>
    <numFmt numFmtId="43" formatCode="_-* #,##0.00_ _-;\-* #,##0.00_ _-;_-* &quot;-&quot;??_ 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_р_."/>
    <numFmt numFmtId="181" formatCode="d/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</numFmts>
  <fonts count="2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0"/>
      <name val="Times New Roman Cyr"/>
      <family val="1"/>
    </font>
    <font>
      <b/>
      <i/>
      <sz val="12"/>
      <name val="Bookman Old Style"/>
      <family val="1"/>
    </font>
    <font>
      <sz val="9"/>
      <name val="Bookman Old Style"/>
      <family val="1"/>
    </font>
    <font>
      <sz val="9"/>
      <name val="Times New Roman Cyr"/>
      <family val="1"/>
    </font>
    <font>
      <u val="single"/>
      <sz val="7.5"/>
      <color indexed="12"/>
      <name val="Arial Cyr"/>
      <family val="0"/>
    </font>
    <font>
      <b/>
      <sz val="12"/>
      <name val="Bookman Old Style"/>
      <family val="1"/>
    </font>
    <font>
      <b/>
      <sz val="12"/>
      <name val="Times New Roman Cyr"/>
      <family val="1"/>
    </font>
    <font>
      <u val="single"/>
      <sz val="11"/>
      <color indexed="36"/>
      <name val="Arial Cyr"/>
      <family val="0"/>
    </font>
    <font>
      <sz val="12"/>
      <name val="Bookman Old Style"/>
      <family val="1"/>
    </font>
    <font>
      <b/>
      <sz val="14"/>
      <name val="Bookman Old Style"/>
      <family val="1"/>
    </font>
    <font>
      <sz val="11"/>
      <name val="Bookman Old Style"/>
      <family val="1"/>
    </font>
    <font>
      <sz val="8"/>
      <name val="Bookman Old Style"/>
      <family val="1"/>
    </font>
    <font>
      <sz val="7"/>
      <name val="Bookman Old Style"/>
      <family val="1"/>
    </font>
    <font>
      <sz val="12"/>
      <name val="Times New Roman Cyr"/>
      <family val="1"/>
    </font>
    <font>
      <b/>
      <sz val="9"/>
      <name val="Bookman Old Style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 horizontal="justify" vertical="top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justify" vertical="top"/>
    </xf>
    <xf numFmtId="0" fontId="10" fillId="0" borderId="0" xfId="0" applyFont="1" applyAlignment="1">
      <alignment/>
    </xf>
    <xf numFmtId="17" fontId="5" fillId="0" borderId="1" xfId="0" applyNumberFormat="1" applyFont="1" applyBorder="1" applyAlignment="1">
      <alignment horizontal="justify" vertical="top"/>
    </xf>
    <xf numFmtId="0" fontId="13" fillId="0" borderId="0" xfId="0" applyFont="1" applyAlignment="1">
      <alignment horizontal="center"/>
    </xf>
    <xf numFmtId="0" fontId="15" fillId="0" borderId="2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15" fillId="0" borderId="4" xfId="0" applyFont="1" applyBorder="1" applyAlignment="1">
      <alignment horizontal="left"/>
    </xf>
    <xf numFmtId="0" fontId="5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15" fillId="0" borderId="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5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9" fillId="0" borderId="1" xfId="0" applyFont="1" applyFill="1" applyBorder="1" applyAlignment="1">
      <alignment horizontal="justify" vertical="top"/>
    </xf>
    <xf numFmtId="0" fontId="17" fillId="0" borderId="1" xfId="0" applyFont="1" applyBorder="1" applyAlignment="1">
      <alignment horizontal="justify" vertical="top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7" xfId="0" applyFont="1" applyBorder="1" applyAlignment="1">
      <alignment/>
    </xf>
    <xf numFmtId="181" fontId="17" fillId="0" borderId="1" xfId="0" applyNumberFormat="1" applyFont="1" applyBorder="1" applyAlignment="1">
      <alignment horizontal="justify" vertical="top"/>
    </xf>
    <xf numFmtId="0" fontId="18" fillId="0" borderId="1" xfId="0" applyFont="1" applyBorder="1" applyAlignment="1">
      <alignment horizontal="justify" vertical="top"/>
    </xf>
    <xf numFmtId="181" fontId="15" fillId="0" borderId="1" xfId="0" applyNumberFormat="1" applyFont="1" applyBorder="1" applyAlignment="1">
      <alignment horizontal="center" vertical="top"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5" fillId="0" borderId="4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justify" vertical="top"/>
    </xf>
    <xf numFmtId="0" fontId="16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181" fontId="18" fillId="0" borderId="1" xfId="0" applyNumberFormat="1" applyFont="1" applyBorder="1" applyAlignment="1">
      <alignment horizontal="justify" vertical="top"/>
    </xf>
    <xf numFmtId="0" fontId="1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4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justify" vertical="top"/>
    </xf>
    <xf numFmtId="0" fontId="9" fillId="0" borderId="0" xfId="0" applyFont="1" applyFill="1" applyBorder="1" applyAlignment="1">
      <alignment horizontal="justify" vertical="top"/>
    </xf>
    <xf numFmtId="0" fontId="9" fillId="0" borderId="0" xfId="0" applyFont="1" applyBorder="1" applyAlignment="1">
      <alignment horizontal="justify" vertical="top"/>
    </xf>
    <xf numFmtId="181" fontId="15" fillId="0" borderId="0" xfId="0" applyNumberFormat="1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justify" vertical="top"/>
    </xf>
    <xf numFmtId="0" fontId="5" fillId="0" borderId="0" xfId="0" applyFont="1" applyAlignment="1">
      <alignment vertical="top"/>
    </xf>
    <xf numFmtId="0" fontId="21" fillId="0" borderId="1" xfId="0" applyFont="1" applyFill="1" applyBorder="1" applyAlignment="1">
      <alignment horizontal="justify" vertical="top"/>
    </xf>
    <xf numFmtId="0" fontId="6" fillId="0" borderId="4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 vertical="center"/>
    </xf>
    <xf numFmtId="0" fontId="5" fillId="0" borderId="4" xfId="0" applyFont="1" applyBorder="1" applyAlignment="1">
      <alignment horizontal="justify" vertical="center"/>
    </xf>
    <xf numFmtId="0" fontId="5" fillId="0" borderId="4" xfId="0" applyFont="1" applyBorder="1" applyAlignment="1">
      <alignment horizontal="justify" vertical="top"/>
    </xf>
    <xf numFmtId="0" fontId="16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</cellXfs>
  <cellStyles count="12">
    <cellStyle name="Normal" xfId="0"/>
    <cellStyle name="Hyperlink" xfId="15"/>
    <cellStyle name="Currency" xfId="16"/>
    <cellStyle name="Currency [0]" xfId="17"/>
    <cellStyle name="Денежный [0]_HU-2003-kl-A-vod-4ksl-Itog" xfId="18"/>
    <cellStyle name="Денежный_HU-2003-kl-A-vod-4ksl-Itog" xfId="19"/>
    <cellStyle name="Followed Hyperlink" xfId="20"/>
    <cellStyle name="Percent" xfId="21"/>
    <cellStyle name="Comma" xfId="22"/>
    <cellStyle name="Comma [0]" xfId="23"/>
    <cellStyle name="Финансовый [0]_HU-2003-kl-A-vod-4ksl-Itog" xfId="24"/>
    <cellStyle name="Финансовый_HU-2003-kl-A-vod-4ksl-Itog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1</xdr:row>
      <xdr:rowOff>57150</xdr:rowOff>
    </xdr:from>
    <xdr:to>
      <xdr:col>2</xdr:col>
      <xdr:colOff>1028700</xdr:colOff>
      <xdr:row>4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42875"/>
          <a:ext cx="847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1</xdr:row>
      <xdr:rowOff>57150</xdr:rowOff>
    </xdr:from>
    <xdr:to>
      <xdr:col>2</xdr:col>
      <xdr:colOff>1028700</xdr:colOff>
      <xdr:row>4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19075"/>
          <a:ext cx="847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1</xdr:row>
      <xdr:rowOff>57150</xdr:rowOff>
    </xdr:from>
    <xdr:to>
      <xdr:col>2</xdr:col>
      <xdr:colOff>1028700</xdr:colOff>
      <xdr:row>4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19075"/>
          <a:ext cx="847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1</xdr:row>
      <xdr:rowOff>104775</xdr:rowOff>
    </xdr:from>
    <xdr:to>
      <xdr:col>2</xdr:col>
      <xdr:colOff>904875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66700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1</xdr:row>
      <xdr:rowOff>57150</xdr:rowOff>
    </xdr:from>
    <xdr:to>
      <xdr:col>2</xdr:col>
      <xdr:colOff>1038225</xdr:colOff>
      <xdr:row>4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19075"/>
          <a:ext cx="857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="75" zoomScaleNormal="75" workbookViewId="0" topLeftCell="A1">
      <selection activeCell="C10" sqref="C10"/>
    </sheetView>
  </sheetViews>
  <sheetFormatPr defaultColWidth="9.00390625" defaultRowHeight="12.75"/>
  <cols>
    <col min="1" max="1" width="1.00390625" style="32" customWidth="1"/>
    <col min="2" max="2" width="4.50390625" style="32" customWidth="1"/>
    <col min="3" max="3" width="20.625" style="7" customWidth="1"/>
    <col min="4" max="4" width="12.875" style="12" customWidth="1"/>
    <col min="5" max="5" width="8.50390625" style="3" customWidth="1"/>
    <col min="6" max="6" width="14.375" style="3" customWidth="1"/>
    <col min="7" max="7" width="14.00390625" style="2" customWidth="1"/>
    <col min="8" max="8" width="21.00390625" style="10" customWidth="1"/>
    <col min="9" max="9" width="11.50390625" style="14" customWidth="1"/>
    <col min="10" max="10" width="14.50390625" style="3" customWidth="1"/>
    <col min="11" max="11" width="13.50390625" style="10" customWidth="1"/>
    <col min="12" max="12" width="12.625" style="1" customWidth="1"/>
    <col min="13" max="13" width="12.625" style="0" customWidth="1"/>
    <col min="14" max="14" width="18.125" style="0" customWidth="1"/>
  </cols>
  <sheetData>
    <row r="1" spans="3:11" ht="6.75" customHeight="1">
      <c r="C1" s="32"/>
      <c r="D1" s="32"/>
      <c r="E1" s="32"/>
      <c r="F1" s="32"/>
      <c r="G1" s="33"/>
      <c r="H1" s="32"/>
      <c r="I1" s="21"/>
      <c r="J1"/>
      <c r="K1" s="29"/>
    </row>
    <row r="2" spans="2:14" s="4" customFormat="1" ht="22.5" customHeight="1">
      <c r="B2" s="15"/>
      <c r="C2" s="22"/>
      <c r="D2" s="61" t="s">
        <v>9</v>
      </c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2:14" s="4" customFormat="1" ht="24" customHeight="1">
      <c r="B3" s="16"/>
      <c r="C3" s="23"/>
      <c r="D3" s="97" t="s">
        <v>10</v>
      </c>
      <c r="E3" s="94"/>
      <c r="F3" s="94"/>
      <c r="G3" s="94"/>
      <c r="H3" s="94"/>
      <c r="I3" s="94"/>
      <c r="J3" s="94"/>
      <c r="K3" s="94"/>
      <c r="L3" s="94"/>
      <c r="M3" s="69"/>
      <c r="N3" s="70"/>
    </row>
    <row r="4" spans="2:14" s="4" customFormat="1" ht="19.5" customHeight="1">
      <c r="B4" s="16"/>
      <c r="C4" s="23"/>
      <c r="D4" s="98" t="s">
        <v>11</v>
      </c>
      <c r="E4" s="94"/>
      <c r="F4" s="94"/>
      <c r="G4" s="94"/>
      <c r="H4" s="94"/>
      <c r="I4" s="94"/>
      <c r="J4" s="94"/>
      <c r="K4" s="94"/>
      <c r="L4" s="94"/>
      <c r="M4" s="69"/>
      <c r="N4" s="70"/>
    </row>
    <row r="5" spans="2:14" s="4" customFormat="1" ht="36.75" customHeight="1">
      <c r="B5" s="40" t="s">
        <v>6</v>
      </c>
      <c r="C5" s="24"/>
      <c r="D5" s="92" t="s">
        <v>82</v>
      </c>
      <c r="E5" s="96"/>
      <c r="F5" s="96"/>
      <c r="G5" s="96"/>
      <c r="H5" s="96"/>
      <c r="I5" s="96"/>
      <c r="J5" s="96"/>
      <c r="K5" s="96"/>
      <c r="L5" s="96"/>
      <c r="M5" s="94"/>
      <c r="N5" s="95"/>
    </row>
    <row r="6" spans="2:14" s="4" customFormat="1" ht="15" customHeight="1">
      <c r="B6" s="17" t="s">
        <v>7</v>
      </c>
      <c r="C6" s="25"/>
      <c r="D6" s="54" t="s">
        <v>101</v>
      </c>
      <c r="E6" s="71"/>
      <c r="F6" s="71"/>
      <c r="G6" s="71"/>
      <c r="H6" s="71"/>
      <c r="I6" s="71"/>
      <c r="J6" s="53"/>
      <c r="K6" s="72"/>
      <c r="L6" s="73"/>
      <c r="M6" s="69"/>
      <c r="N6" s="70"/>
    </row>
    <row r="7" spans="2:14" s="4" customFormat="1" ht="18.75" customHeight="1">
      <c r="B7" s="17" t="s">
        <v>8</v>
      </c>
      <c r="C7" s="25"/>
      <c r="D7" s="74" t="s">
        <v>246</v>
      </c>
      <c r="E7" s="69"/>
      <c r="F7" s="75"/>
      <c r="G7" s="76"/>
      <c r="H7" s="69"/>
      <c r="I7" s="77"/>
      <c r="J7" s="69"/>
      <c r="K7" s="78"/>
      <c r="L7" s="75"/>
      <c r="M7" s="69"/>
      <c r="N7" s="70"/>
    </row>
    <row r="8" spans="2:14" s="4" customFormat="1" ht="18.75" customHeight="1">
      <c r="B8" s="79"/>
      <c r="C8" s="8"/>
      <c r="F8" s="79"/>
      <c r="G8" s="80"/>
      <c r="H8" s="81" t="s">
        <v>12</v>
      </c>
      <c r="K8" s="82"/>
      <c r="L8" s="79"/>
      <c r="N8" s="70"/>
    </row>
    <row r="9" spans="2:14" s="26" customFormat="1" ht="26.25">
      <c r="B9" s="18" t="s">
        <v>0</v>
      </c>
      <c r="C9" s="27" t="s">
        <v>17</v>
      </c>
      <c r="D9" s="27" t="s">
        <v>18</v>
      </c>
      <c r="E9" s="27" t="s">
        <v>19</v>
      </c>
      <c r="F9" s="28" t="s">
        <v>20</v>
      </c>
      <c r="G9" s="28" t="s">
        <v>21</v>
      </c>
      <c r="H9" s="28" t="s">
        <v>13</v>
      </c>
      <c r="I9" s="28" t="s">
        <v>14</v>
      </c>
      <c r="J9" s="28" t="s">
        <v>2</v>
      </c>
      <c r="K9" s="28" t="s">
        <v>15</v>
      </c>
      <c r="L9" s="27" t="s">
        <v>16</v>
      </c>
      <c r="M9" s="92" t="s">
        <v>81</v>
      </c>
      <c r="N9" s="93"/>
    </row>
    <row r="10" spans="2:14" s="4" customFormat="1" ht="54.75">
      <c r="B10" s="18">
        <v>1</v>
      </c>
      <c r="C10" s="9" t="s">
        <v>247</v>
      </c>
      <c r="D10" s="91" t="s">
        <v>248</v>
      </c>
      <c r="E10" s="18">
        <v>8</v>
      </c>
      <c r="F10" s="11" t="s">
        <v>249</v>
      </c>
      <c r="G10" s="5" t="s">
        <v>208</v>
      </c>
      <c r="H10" s="5" t="s">
        <v>250</v>
      </c>
      <c r="I10" s="52" t="s">
        <v>251</v>
      </c>
      <c r="J10" s="5" t="s">
        <v>252</v>
      </c>
      <c r="K10" s="62">
        <v>1</v>
      </c>
      <c r="L10" s="18" t="s">
        <v>253</v>
      </c>
      <c r="M10" s="42" t="s">
        <v>254</v>
      </c>
      <c r="N10" s="51" t="s">
        <v>255</v>
      </c>
    </row>
    <row r="11" spans="2:14" s="4" customFormat="1" ht="39.75" customHeight="1">
      <c r="B11" s="18">
        <v>2</v>
      </c>
      <c r="C11" s="9" t="s">
        <v>256</v>
      </c>
      <c r="D11" s="91" t="s">
        <v>257</v>
      </c>
      <c r="E11" s="18">
        <v>8</v>
      </c>
      <c r="F11" s="11" t="s">
        <v>258</v>
      </c>
      <c r="G11" s="5" t="s">
        <v>259</v>
      </c>
      <c r="H11" s="5" t="s">
        <v>260</v>
      </c>
      <c r="I11" s="52" t="s">
        <v>261</v>
      </c>
      <c r="J11" s="5" t="s">
        <v>262</v>
      </c>
      <c r="K11" s="62">
        <v>2</v>
      </c>
      <c r="L11" s="11" t="s">
        <v>263</v>
      </c>
      <c r="M11" s="42" t="s">
        <v>53</v>
      </c>
      <c r="N11" s="51" t="s">
        <v>264</v>
      </c>
    </row>
    <row r="12" spans="2:14" s="4" customFormat="1" ht="41.25" customHeight="1">
      <c r="B12" s="18">
        <v>3</v>
      </c>
      <c r="C12" s="9" t="s">
        <v>265</v>
      </c>
      <c r="D12" s="91" t="s">
        <v>266</v>
      </c>
      <c r="E12" s="18">
        <v>10</v>
      </c>
      <c r="F12" s="11" t="s">
        <v>267</v>
      </c>
      <c r="G12" s="5" t="s">
        <v>259</v>
      </c>
      <c r="H12" s="5" t="s">
        <v>268</v>
      </c>
      <c r="I12" s="52" t="s">
        <v>261</v>
      </c>
      <c r="J12" s="5" t="s">
        <v>269</v>
      </c>
      <c r="K12" s="62">
        <v>3</v>
      </c>
      <c r="L12" s="18" t="s">
        <v>270</v>
      </c>
      <c r="M12" s="42" t="s">
        <v>53</v>
      </c>
      <c r="N12" s="11" t="s">
        <v>203</v>
      </c>
    </row>
    <row r="13" spans="2:14" s="4" customFormat="1" ht="26.25">
      <c r="B13" s="18">
        <v>4</v>
      </c>
      <c r="C13" s="5" t="s">
        <v>271</v>
      </c>
      <c r="D13" s="41" t="s">
        <v>206</v>
      </c>
      <c r="E13" s="18">
        <v>6</v>
      </c>
      <c r="F13" s="11" t="s">
        <v>267</v>
      </c>
      <c r="G13" s="5" t="s">
        <v>208</v>
      </c>
      <c r="H13" s="5" t="s">
        <v>209</v>
      </c>
      <c r="I13" s="52" t="s">
        <v>261</v>
      </c>
      <c r="J13" s="5" t="s">
        <v>211</v>
      </c>
      <c r="K13" s="65">
        <v>4</v>
      </c>
      <c r="L13" s="18" t="s">
        <v>272</v>
      </c>
      <c r="M13" s="42" t="s">
        <v>273</v>
      </c>
      <c r="N13" s="11" t="s">
        <v>274</v>
      </c>
    </row>
    <row r="14" spans="2:14" s="4" customFormat="1" ht="72">
      <c r="B14" s="18">
        <v>5</v>
      </c>
      <c r="C14" s="5" t="s">
        <v>275</v>
      </c>
      <c r="D14" s="41" t="s">
        <v>276</v>
      </c>
      <c r="E14" s="18">
        <v>32</v>
      </c>
      <c r="F14" s="11" t="s">
        <v>277</v>
      </c>
      <c r="G14" s="5" t="s">
        <v>208</v>
      </c>
      <c r="H14" s="5" t="s">
        <v>278</v>
      </c>
      <c r="I14" s="52" t="s">
        <v>261</v>
      </c>
      <c r="J14" s="13" t="s">
        <v>279</v>
      </c>
      <c r="K14" s="65">
        <v>5</v>
      </c>
      <c r="L14" s="18" t="s">
        <v>119</v>
      </c>
      <c r="M14" s="42" t="s">
        <v>35</v>
      </c>
      <c r="N14" s="11" t="s">
        <v>280</v>
      </c>
    </row>
    <row r="15" spans="2:14" s="4" customFormat="1" ht="44.25" customHeight="1">
      <c r="B15" s="18">
        <v>6</v>
      </c>
      <c r="C15" s="5" t="s">
        <v>281</v>
      </c>
      <c r="D15" s="41" t="s">
        <v>282</v>
      </c>
      <c r="E15" s="18">
        <v>18</v>
      </c>
      <c r="F15" s="11" t="s">
        <v>283</v>
      </c>
      <c r="G15" s="5" t="s">
        <v>208</v>
      </c>
      <c r="H15" s="5" t="s">
        <v>284</v>
      </c>
      <c r="I15" s="52" t="s">
        <v>261</v>
      </c>
      <c r="J15" s="5" t="s">
        <v>285</v>
      </c>
      <c r="K15" s="65">
        <v>6</v>
      </c>
      <c r="L15" s="18" t="s">
        <v>286</v>
      </c>
      <c r="M15" s="42" t="s">
        <v>53</v>
      </c>
      <c r="N15" s="11" t="s">
        <v>287</v>
      </c>
    </row>
    <row r="16" spans="2:14" s="4" customFormat="1" ht="36">
      <c r="B16" s="18">
        <v>7</v>
      </c>
      <c r="C16" s="5" t="s">
        <v>288</v>
      </c>
      <c r="D16" s="41" t="s">
        <v>289</v>
      </c>
      <c r="E16" s="18">
        <v>10</v>
      </c>
      <c r="F16" s="11" t="s">
        <v>290</v>
      </c>
      <c r="G16" s="5" t="s">
        <v>208</v>
      </c>
      <c r="H16" s="5" t="s">
        <v>291</v>
      </c>
      <c r="I16" s="52" t="s">
        <v>261</v>
      </c>
      <c r="J16" s="5" t="s">
        <v>285</v>
      </c>
      <c r="K16" s="65">
        <v>7</v>
      </c>
      <c r="L16" s="18" t="s">
        <v>292</v>
      </c>
      <c r="M16" s="42" t="s">
        <v>53</v>
      </c>
      <c r="N16" s="51" t="s">
        <v>293</v>
      </c>
    </row>
    <row r="17" spans="2:14" s="4" customFormat="1" ht="41.25" customHeight="1">
      <c r="B17" s="18">
        <v>8</v>
      </c>
      <c r="C17" s="5" t="s">
        <v>294</v>
      </c>
      <c r="D17" s="41" t="s">
        <v>257</v>
      </c>
      <c r="E17" s="18">
        <v>5</v>
      </c>
      <c r="F17" s="11" t="s">
        <v>295</v>
      </c>
      <c r="G17" s="5" t="s">
        <v>208</v>
      </c>
      <c r="H17" s="5" t="s">
        <v>296</v>
      </c>
      <c r="I17" s="52" t="s">
        <v>297</v>
      </c>
      <c r="J17" s="5" t="s">
        <v>211</v>
      </c>
      <c r="K17" s="65">
        <v>8</v>
      </c>
      <c r="L17" s="11" t="s">
        <v>263</v>
      </c>
      <c r="M17" s="42" t="s">
        <v>53</v>
      </c>
      <c r="N17" s="51" t="s">
        <v>264</v>
      </c>
    </row>
    <row r="18" spans="2:14" s="4" customFormat="1" ht="26.25">
      <c r="B18" s="18">
        <v>9</v>
      </c>
      <c r="C18" s="5" t="s">
        <v>256</v>
      </c>
      <c r="D18" s="41" t="s">
        <v>257</v>
      </c>
      <c r="E18" s="18">
        <v>5</v>
      </c>
      <c r="F18" s="11" t="s">
        <v>298</v>
      </c>
      <c r="G18" s="5" t="s">
        <v>208</v>
      </c>
      <c r="H18" s="5" t="s">
        <v>291</v>
      </c>
      <c r="I18" s="52" t="s">
        <v>297</v>
      </c>
      <c r="J18" s="13" t="s">
        <v>299</v>
      </c>
      <c r="K18" s="65">
        <v>9</v>
      </c>
      <c r="L18" s="11" t="s">
        <v>263</v>
      </c>
      <c r="M18" s="42" t="s">
        <v>53</v>
      </c>
      <c r="N18" s="51" t="s">
        <v>264</v>
      </c>
    </row>
    <row r="19" spans="2:14" s="4" customFormat="1" ht="26.25">
      <c r="B19" s="18">
        <v>10</v>
      </c>
      <c r="C19" s="5" t="s">
        <v>170</v>
      </c>
      <c r="D19" s="41" t="s">
        <v>300</v>
      </c>
      <c r="E19" s="18">
        <v>6</v>
      </c>
      <c r="F19" s="11" t="s">
        <v>283</v>
      </c>
      <c r="G19" s="5" t="s">
        <v>208</v>
      </c>
      <c r="H19" s="5" t="s">
        <v>301</v>
      </c>
      <c r="I19" s="52" t="s">
        <v>261</v>
      </c>
      <c r="J19" s="13" t="s">
        <v>302</v>
      </c>
      <c r="K19" s="65">
        <v>10</v>
      </c>
      <c r="L19" s="18" t="s">
        <v>303</v>
      </c>
      <c r="M19" s="42" t="s">
        <v>53</v>
      </c>
      <c r="N19" s="11" t="s">
        <v>304</v>
      </c>
    </row>
    <row r="20" spans="2:14" s="4" customFormat="1" ht="26.25">
      <c r="B20" s="18">
        <v>11</v>
      </c>
      <c r="C20" s="5" t="s">
        <v>305</v>
      </c>
      <c r="D20" s="41" t="s">
        <v>300</v>
      </c>
      <c r="E20" s="18">
        <v>6</v>
      </c>
      <c r="F20" s="11" t="s">
        <v>306</v>
      </c>
      <c r="G20" s="5" t="s">
        <v>208</v>
      </c>
      <c r="H20" s="5" t="s">
        <v>301</v>
      </c>
      <c r="I20" s="52" t="s">
        <v>261</v>
      </c>
      <c r="J20" s="13" t="s">
        <v>302</v>
      </c>
      <c r="K20" s="65">
        <v>11</v>
      </c>
      <c r="L20" s="18" t="s">
        <v>307</v>
      </c>
      <c r="M20" s="42" t="s">
        <v>53</v>
      </c>
      <c r="N20" s="11" t="s">
        <v>304</v>
      </c>
    </row>
    <row r="21" spans="2:14" s="4" customFormat="1" ht="26.25">
      <c r="B21" s="18">
        <v>12</v>
      </c>
      <c r="C21" s="5" t="s">
        <v>308</v>
      </c>
      <c r="D21" s="41" t="s">
        <v>300</v>
      </c>
      <c r="E21" s="18">
        <v>14</v>
      </c>
      <c r="F21" s="11" t="s">
        <v>277</v>
      </c>
      <c r="G21" s="5" t="s">
        <v>208</v>
      </c>
      <c r="H21" s="5" t="s">
        <v>309</v>
      </c>
      <c r="I21" s="52" t="s">
        <v>261</v>
      </c>
      <c r="J21" s="5" t="s">
        <v>310</v>
      </c>
      <c r="K21" s="65">
        <v>12</v>
      </c>
      <c r="L21" s="18" t="s">
        <v>311</v>
      </c>
      <c r="M21" s="42" t="s">
        <v>53</v>
      </c>
      <c r="N21" s="11" t="s">
        <v>312</v>
      </c>
    </row>
    <row r="22" spans="3:12" s="32" customFormat="1" ht="12" customHeight="1">
      <c r="C22" s="2"/>
      <c r="D22" s="12"/>
      <c r="E22" s="3"/>
      <c r="F22" s="3"/>
      <c r="G22" s="2"/>
      <c r="H22" s="3"/>
      <c r="I22" s="68"/>
      <c r="J22" s="3"/>
      <c r="K22" s="3"/>
      <c r="L22" s="33"/>
    </row>
    <row r="23" spans="1:9" s="19" customFormat="1" ht="15">
      <c r="A23" s="38"/>
      <c r="B23" s="20" t="s">
        <v>155</v>
      </c>
      <c r="C23" s="20"/>
      <c r="D23" s="20"/>
      <c r="F23" s="20" t="s">
        <v>25</v>
      </c>
      <c r="H23" s="20"/>
      <c r="I23" s="37"/>
    </row>
    <row r="24" spans="1:9" s="19" customFormat="1" ht="15">
      <c r="A24" s="38"/>
      <c r="B24" s="20"/>
      <c r="C24" s="20"/>
      <c r="D24" s="20"/>
      <c r="F24" s="20" t="s">
        <v>313</v>
      </c>
      <c r="H24" s="20"/>
      <c r="I24" s="37"/>
    </row>
    <row r="25" spans="1:9" s="19" customFormat="1" ht="8.25" customHeight="1">
      <c r="A25" s="38"/>
      <c r="B25" s="20"/>
      <c r="C25" s="20"/>
      <c r="D25" s="20"/>
      <c r="F25" s="20"/>
      <c r="H25" s="20"/>
      <c r="I25" s="37"/>
    </row>
    <row r="26" spans="1:9" s="19" customFormat="1" ht="15">
      <c r="A26" s="38"/>
      <c r="B26" s="20"/>
      <c r="C26" s="20"/>
      <c r="D26" s="20"/>
      <c r="F26" s="20" t="s">
        <v>162</v>
      </c>
      <c r="H26" s="20"/>
      <c r="I26" s="37"/>
    </row>
    <row r="27" spans="1:9" s="19" customFormat="1" ht="15">
      <c r="A27" s="38"/>
      <c r="B27" s="20"/>
      <c r="C27" s="20"/>
      <c r="D27" s="20"/>
      <c r="F27" s="20" t="s">
        <v>314</v>
      </c>
      <c r="H27" s="20"/>
      <c r="I27" s="37"/>
    </row>
    <row r="28" spans="1:9" s="19" customFormat="1" ht="9.75" customHeight="1">
      <c r="A28" s="38"/>
      <c r="B28" s="20"/>
      <c r="C28" s="20"/>
      <c r="D28" s="20"/>
      <c r="F28" s="20"/>
      <c r="H28" s="20"/>
      <c r="I28" s="37"/>
    </row>
    <row r="29" spans="1:9" s="19" customFormat="1" ht="15">
      <c r="A29" s="38"/>
      <c r="B29" s="20" t="s">
        <v>79</v>
      </c>
      <c r="C29" s="20"/>
      <c r="D29" s="20"/>
      <c r="F29" s="20" t="s">
        <v>23</v>
      </c>
      <c r="H29" s="20"/>
      <c r="I29" s="37"/>
    </row>
    <row r="30" spans="1:9" s="19" customFormat="1" ht="15">
      <c r="A30" s="38"/>
      <c r="B30" s="20" t="s">
        <v>80</v>
      </c>
      <c r="C30" s="20"/>
      <c r="D30" s="20"/>
      <c r="F30" s="20" t="s">
        <v>100</v>
      </c>
      <c r="H30" s="20"/>
      <c r="I30" s="37"/>
    </row>
    <row r="31" spans="1:12" ht="10.5" customHeight="1">
      <c r="A31" s="55"/>
      <c r="B31" s="20"/>
      <c r="C31" s="20"/>
      <c r="D31" s="20"/>
      <c r="F31" s="20"/>
      <c r="G31" s="20"/>
      <c r="H31" s="20"/>
      <c r="I31" s="32"/>
      <c r="J31"/>
      <c r="K31"/>
      <c r="L31"/>
    </row>
    <row r="32" spans="2:6" s="4" customFormat="1" ht="15">
      <c r="B32" s="20" t="s">
        <v>157</v>
      </c>
      <c r="F32" s="20" t="s">
        <v>158</v>
      </c>
    </row>
    <row r="33" s="4" customFormat="1" ht="15">
      <c r="F33" s="20" t="s">
        <v>160</v>
      </c>
    </row>
    <row r="34" s="4" customFormat="1" ht="12.75"/>
    <row r="35" s="4" customFormat="1" ht="12.75"/>
  </sheetData>
  <mergeCells count="5">
    <mergeCell ref="M9:N9"/>
    <mergeCell ref="D2:N2"/>
    <mergeCell ref="D5:N5"/>
    <mergeCell ref="D3:L3"/>
    <mergeCell ref="D4:L4"/>
  </mergeCells>
  <printOptions horizontalCentered="1"/>
  <pageMargins left="0.2755905511811024" right="0.2362204724409449" top="0.5905511811023623" bottom="0.31496062992125984" header="0" footer="0"/>
  <pageSetup fitToHeight="0" fitToWidth="1" horizontalDpi="1200" verticalDpi="12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="75" zoomScaleNormal="75" workbookViewId="0" topLeftCell="A1">
      <selection activeCell="C10" sqref="C10"/>
    </sheetView>
  </sheetViews>
  <sheetFormatPr defaultColWidth="9.00390625" defaultRowHeight="12.75"/>
  <cols>
    <col min="1" max="1" width="2.00390625" style="32" customWidth="1"/>
    <col min="2" max="2" width="4.50390625" style="32" customWidth="1"/>
    <col min="3" max="3" width="20.625" style="7" customWidth="1"/>
    <col min="4" max="4" width="15.125" style="12" customWidth="1"/>
    <col min="5" max="5" width="7.125" style="3" customWidth="1"/>
    <col min="6" max="6" width="11.50390625" style="3" customWidth="1"/>
    <col min="7" max="7" width="20.375" style="2" customWidth="1"/>
    <col min="8" max="8" width="26.00390625" style="10" customWidth="1"/>
    <col min="9" max="9" width="11.50390625" style="14" customWidth="1"/>
    <col min="10" max="10" width="14.50390625" style="3" customWidth="1"/>
    <col min="11" max="11" width="13.50390625" style="10" customWidth="1"/>
    <col min="12" max="12" width="12.625" style="1" customWidth="1"/>
    <col min="13" max="13" width="12.625" style="0" customWidth="1"/>
    <col min="14" max="14" width="18.125" style="0" customWidth="1"/>
  </cols>
  <sheetData>
    <row r="1" spans="3:11" ht="12.75">
      <c r="C1" s="32"/>
      <c r="D1" s="32"/>
      <c r="E1" s="32"/>
      <c r="F1" s="32"/>
      <c r="G1" s="33"/>
      <c r="H1" s="32"/>
      <c r="I1" s="21"/>
      <c r="J1"/>
      <c r="K1" s="29"/>
    </row>
    <row r="2" spans="2:14" s="4" customFormat="1" ht="22.5" customHeight="1">
      <c r="B2" s="15"/>
      <c r="C2" s="22"/>
      <c r="D2" s="61" t="s">
        <v>9</v>
      </c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2:14" s="4" customFormat="1" ht="24" customHeight="1">
      <c r="B3" s="16"/>
      <c r="C3" s="23"/>
      <c r="D3" s="97" t="s">
        <v>10</v>
      </c>
      <c r="E3" s="94"/>
      <c r="F3" s="94"/>
      <c r="G3" s="94"/>
      <c r="H3" s="94"/>
      <c r="I3" s="94"/>
      <c r="J3" s="94"/>
      <c r="K3" s="94"/>
      <c r="L3" s="94"/>
      <c r="M3" s="69"/>
      <c r="N3" s="70"/>
    </row>
    <row r="4" spans="2:14" s="4" customFormat="1" ht="19.5" customHeight="1">
      <c r="B4" s="16"/>
      <c r="C4" s="23"/>
      <c r="D4" s="98" t="s">
        <v>11</v>
      </c>
      <c r="E4" s="94"/>
      <c r="F4" s="94"/>
      <c r="G4" s="94"/>
      <c r="H4" s="94"/>
      <c r="I4" s="94"/>
      <c r="J4" s="94"/>
      <c r="K4" s="94"/>
      <c r="L4" s="94"/>
      <c r="M4" s="69"/>
      <c r="N4" s="70"/>
    </row>
    <row r="5" spans="2:14" s="4" customFormat="1" ht="36.75" customHeight="1">
      <c r="B5" s="40" t="s">
        <v>6</v>
      </c>
      <c r="C5" s="24"/>
      <c r="D5" s="92" t="s">
        <v>82</v>
      </c>
      <c r="E5" s="96"/>
      <c r="F5" s="96"/>
      <c r="G5" s="96"/>
      <c r="H5" s="96"/>
      <c r="I5" s="96"/>
      <c r="J5" s="96"/>
      <c r="K5" s="96"/>
      <c r="L5" s="96"/>
      <c r="M5" s="94"/>
      <c r="N5" s="95"/>
    </row>
    <row r="6" spans="2:14" s="4" customFormat="1" ht="15" customHeight="1">
      <c r="B6" s="17" t="s">
        <v>7</v>
      </c>
      <c r="C6" s="25"/>
      <c r="D6" s="54" t="s">
        <v>101</v>
      </c>
      <c r="E6" s="71"/>
      <c r="F6" s="71"/>
      <c r="G6" s="71"/>
      <c r="H6" s="71"/>
      <c r="I6" s="71"/>
      <c r="J6" s="53"/>
      <c r="K6" s="72"/>
      <c r="L6" s="73"/>
      <c r="M6" s="69"/>
      <c r="N6" s="70"/>
    </row>
    <row r="7" spans="2:14" s="4" customFormat="1" ht="18.75" customHeight="1">
      <c r="B7" s="17" t="s">
        <v>8</v>
      </c>
      <c r="C7" s="25"/>
      <c r="D7" s="74" t="s">
        <v>204</v>
      </c>
      <c r="E7" s="69"/>
      <c r="F7" s="75"/>
      <c r="G7" s="76"/>
      <c r="H7" s="69"/>
      <c r="I7" s="77"/>
      <c r="J7" s="69"/>
      <c r="K7" s="78"/>
      <c r="L7" s="75"/>
      <c r="M7" s="69"/>
      <c r="N7" s="70"/>
    </row>
    <row r="8" spans="2:14" s="4" customFormat="1" ht="18.75" customHeight="1">
      <c r="B8" s="43"/>
      <c r="C8" s="8"/>
      <c r="F8" s="79"/>
      <c r="G8" s="80"/>
      <c r="H8" s="81" t="s">
        <v>12</v>
      </c>
      <c r="K8" s="82"/>
      <c r="L8" s="79"/>
      <c r="N8" s="70"/>
    </row>
    <row r="9" spans="2:14" s="26" customFormat="1" ht="26.25">
      <c r="B9" s="18" t="s">
        <v>0</v>
      </c>
      <c r="C9" s="27" t="s">
        <v>17</v>
      </c>
      <c r="D9" s="27" t="s">
        <v>18</v>
      </c>
      <c r="E9" s="27" t="s">
        <v>19</v>
      </c>
      <c r="F9" s="28" t="s">
        <v>20</v>
      </c>
      <c r="G9" s="28" t="s">
        <v>21</v>
      </c>
      <c r="H9" s="28" t="s">
        <v>13</v>
      </c>
      <c r="I9" s="28" t="s">
        <v>14</v>
      </c>
      <c r="J9" s="28" t="s">
        <v>2</v>
      </c>
      <c r="K9" s="28" t="s">
        <v>15</v>
      </c>
      <c r="L9" s="27" t="s">
        <v>16</v>
      </c>
      <c r="M9" s="92" t="s">
        <v>81</v>
      </c>
      <c r="N9" s="93"/>
    </row>
    <row r="10" spans="2:14" s="4" customFormat="1" ht="26.25">
      <c r="B10" s="18">
        <v>1</v>
      </c>
      <c r="C10" s="9" t="s">
        <v>205</v>
      </c>
      <c r="D10" s="41" t="s">
        <v>206</v>
      </c>
      <c r="E10" s="18">
        <v>4</v>
      </c>
      <c r="F10" s="11" t="s">
        <v>207</v>
      </c>
      <c r="G10" s="5" t="s">
        <v>208</v>
      </c>
      <c r="H10" s="5" t="s">
        <v>209</v>
      </c>
      <c r="I10" s="52" t="s">
        <v>210</v>
      </c>
      <c r="J10" s="5" t="s">
        <v>211</v>
      </c>
      <c r="K10" s="62">
        <v>1</v>
      </c>
      <c r="L10" s="18" t="s">
        <v>212</v>
      </c>
      <c r="M10" s="42" t="s">
        <v>213</v>
      </c>
      <c r="N10" s="11" t="s">
        <v>214</v>
      </c>
    </row>
    <row r="11" spans="2:14" s="4" customFormat="1" ht="26.25">
      <c r="B11" s="18">
        <v>2</v>
      </c>
      <c r="C11" s="9" t="s">
        <v>215</v>
      </c>
      <c r="D11" s="41" t="s">
        <v>216</v>
      </c>
      <c r="E11" s="18">
        <v>5</v>
      </c>
      <c r="F11" s="11" t="s">
        <v>177</v>
      </c>
      <c r="G11" s="5" t="s">
        <v>217</v>
      </c>
      <c r="H11" s="5" t="s">
        <v>218</v>
      </c>
      <c r="I11" s="52" t="s">
        <v>210</v>
      </c>
      <c r="J11" s="5" t="s">
        <v>219</v>
      </c>
      <c r="K11" s="62">
        <v>2</v>
      </c>
      <c r="L11" s="18" t="s">
        <v>220</v>
      </c>
      <c r="M11" s="42" t="s">
        <v>35</v>
      </c>
      <c r="N11" s="11" t="s">
        <v>221</v>
      </c>
    </row>
    <row r="12" spans="2:14" s="4" customFormat="1" ht="78.75" customHeight="1">
      <c r="B12" s="18">
        <v>3</v>
      </c>
      <c r="C12" s="9" t="s">
        <v>222</v>
      </c>
      <c r="D12" s="41" t="s">
        <v>223</v>
      </c>
      <c r="E12" s="18">
        <v>2</v>
      </c>
      <c r="F12" s="11" t="s">
        <v>224</v>
      </c>
      <c r="G12" s="5" t="s">
        <v>225</v>
      </c>
      <c r="H12" s="5" t="s">
        <v>226</v>
      </c>
      <c r="I12" s="52" t="s">
        <v>210</v>
      </c>
      <c r="J12" s="5" t="s">
        <v>227</v>
      </c>
      <c r="K12" s="62">
        <v>3</v>
      </c>
      <c r="L12" s="5" t="s">
        <v>228</v>
      </c>
      <c r="M12" s="42" t="s">
        <v>53</v>
      </c>
      <c r="N12" s="11" t="s">
        <v>229</v>
      </c>
    </row>
    <row r="13" spans="2:14" s="4" customFormat="1" ht="78.75" customHeight="1">
      <c r="B13" s="18">
        <v>4</v>
      </c>
      <c r="C13" s="5" t="s">
        <v>230</v>
      </c>
      <c r="D13" s="41" t="s">
        <v>231</v>
      </c>
      <c r="E13" s="18">
        <v>8</v>
      </c>
      <c r="F13" s="11" t="s">
        <v>207</v>
      </c>
      <c r="G13" s="5" t="s">
        <v>199</v>
      </c>
      <c r="H13" s="5" t="s">
        <v>232</v>
      </c>
      <c r="I13" s="52" t="s">
        <v>233</v>
      </c>
      <c r="J13" s="13" t="s">
        <v>234</v>
      </c>
      <c r="K13" s="65">
        <v>4</v>
      </c>
      <c r="L13" s="18" t="s">
        <v>119</v>
      </c>
      <c r="M13" s="42" t="s">
        <v>53</v>
      </c>
      <c r="N13" s="11" t="s">
        <v>221</v>
      </c>
    </row>
    <row r="14" spans="2:14" s="4" customFormat="1" ht="78.75" customHeight="1">
      <c r="B14" s="18">
        <v>5</v>
      </c>
      <c r="C14" s="5" t="s">
        <v>235</v>
      </c>
      <c r="D14" s="41" t="s">
        <v>236</v>
      </c>
      <c r="E14" s="18">
        <v>7</v>
      </c>
      <c r="F14" s="11" t="s">
        <v>207</v>
      </c>
      <c r="G14" s="5" t="s">
        <v>225</v>
      </c>
      <c r="H14" s="5" t="s">
        <v>226</v>
      </c>
      <c r="I14" s="52" t="s">
        <v>210</v>
      </c>
      <c r="J14" s="5" t="s">
        <v>237</v>
      </c>
      <c r="K14" s="65" t="s">
        <v>238</v>
      </c>
      <c r="L14" s="42" t="s">
        <v>239</v>
      </c>
      <c r="M14" s="42" t="s">
        <v>53</v>
      </c>
      <c r="N14" s="11"/>
    </row>
    <row r="15" spans="2:14" s="4" customFormat="1" ht="69">
      <c r="B15" s="18">
        <v>6</v>
      </c>
      <c r="C15" s="5" t="s">
        <v>240</v>
      </c>
      <c r="D15" s="41" t="s">
        <v>223</v>
      </c>
      <c r="E15" s="18">
        <v>6</v>
      </c>
      <c r="F15" s="11" t="s">
        <v>207</v>
      </c>
      <c r="G15" s="5" t="s">
        <v>225</v>
      </c>
      <c r="H15" s="5" t="s">
        <v>226</v>
      </c>
      <c r="I15" s="52" t="s">
        <v>210</v>
      </c>
      <c r="J15" s="5" t="s">
        <v>227</v>
      </c>
      <c r="K15" s="65" t="s">
        <v>238</v>
      </c>
      <c r="L15" s="42" t="s">
        <v>241</v>
      </c>
      <c r="M15" s="42" t="s">
        <v>53</v>
      </c>
      <c r="N15" s="51"/>
    </row>
    <row r="16" spans="2:14" s="4" customFormat="1" ht="78.75" customHeight="1">
      <c r="B16" s="18">
        <v>7</v>
      </c>
      <c r="C16" s="5" t="s">
        <v>242</v>
      </c>
      <c r="D16" s="41" t="s">
        <v>243</v>
      </c>
      <c r="E16" s="18">
        <v>6</v>
      </c>
      <c r="F16" s="11" t="s">
        <v>244</v>
      </c>
      <c r="G16" s="5" t="s">
        <v>225</v>
      </c>
      <c r="H16" s="5" t="s">
        <v>226</v>
      </c>
      <c r="I16" s="52" t="s">
        <v>210</v>
      </c>
      <c r="J16" s="5" t="s">
        <v>237</v>
      </c>
      <c r="K16" s="65" t="s">
        <v>238</v>
      </c>
      <c r="L16" s="42" t="s">
        <v>239</v>
      </c>
      <c r="M16" s="42" t="s">
        <v>53</v>
      </c>
      <c r="N16" s="11"/>
    </row>
    <row r="17" spans="2:14" s="4" customFormat="1" ht="9" customHeight="1">
      <c r="B17" s="83"/>
      <c r="C17" s="84"/>
      <c r="D17" s="85"/>
      <c r="E17" s="83"/>
      <c r="F17" s="86"/>
      <c r="G17" s="84"/>
      <c r="H17" s="84"/>
      <c r="I17" s="87"/>
      <c r="J17" s="84"/>
      <c r="K17" s="88"/>
      <c r="L17" s="83"/>
      <c r="M17" s="89"/>
      <c r="N17" s="86"/>
    </row>
    <row r="18" spans="1:13" s="37" customFormat="1" ht="15">
      <c r="A18" s="38"/>
      <c r="B18" s="20" t="s">
        <v>155</v>
      </c>
      <c r="C18" s="20"/>
      <c r="F18" s="20" t="s">
        <v>245</v>
      </c>
      <c r="H18" s="90"/>
      <c r="I18" s="20" t="s">
        <v>79</v>
      </c>
      <c r="J18" s="38"/>
      <c r="M18" s="20" t="s">
        <v>23</v>
      </c>
    </row>
    <row r="19" spans="1:13" s="37" customFormat="1" ht="15">
      <c r="A19" s="38"/>
      <c r="B19" s="20"/>
      <c r="C19" s="20"/>
      <c r="F19" s="20" t="s">
        <v>100</v>
      </c>
      <c r="H19" s="90"/>
      <c r="I19" s="20" t="s">
        <v>80</v>
      </c>
      <c r="J19" s="38"/>
      <c r="M19" s="20" t="s">
        <v>100</v>
      </c>
    </row>
    <row r="20" spans="1:14" s="37" customFormat="1" ht="8.25" customHeight="1">
      <c r="A20" s="38"/>
      <c r="B20" s="20"/>
      <c r="C20" s="20"/>
      <c r="F20" s="20"/>
      <c r="I20" s="20"/>
      <c r="J20" s="20"/>
      <c r="K20" s="20"/>
      <c r="L20" s="32"/>
      <c r="M20" s="32"/>
      <c r="N20" s="33"/>
    </row>
    <row r="21" spans="1:14" s="37" customFormat="1" ht="15">
      <c r="A21" s="38"/>
      <c r="B21" s="20"/>
      <c r="C21" s="20"/>
      <c r="F21" s="20" t="s">
        <v>25</v>
      </c>
      <c r="H21" s="90"/>
      <c r="I21" s="20" t="s">
        <v>157</v>
      </c>
      <c r="J21" s="4"/>
      <c r="K21" s="4"/>
      <c r="L21" s="4"/>
      <c r="M21" s="20" t="s">
        <v>158</v>
      </c>
      <c r="N21" s="2"/>
    </row>
    <row r="22" spans="1:14" s="37" customFormat="1" ht="15">
      <c r="A22" s="38"/>
      <c r="B22" s="20"/>
      <c r="C22" s="20"/>
      <c r="F22" s="20" t="s">
        <v>99</v>
      </c>
      <c r="H22" s="90"/>
      <c r="I22" s="4"/>
      <c r="J22" s="4"/>
      <c r="K22" s="4"/>
      <c r="L22" s="4"/>
      <c r="M22" s="20" t="s">
        <v>160</v>
      </c>
      <c r="N22" s="2"/>
    </row>
    <row r="23" spans="1:8" s="37" customFormat="1" ht="10.5" customHeight="1">
      <c r="A23" s="38"/>
      <c r="B23" s="20"/>
      <c r="C23" s="20"/>
      <c r="F23" s="20"/>
      <c r="H23" s="90"/>
    </row>
    <row r="24" spans="1:8" s="37" customFormat="1" ht="15">
      <c r="A24" s="38"/>
      <c r="B24" s="20"/>
      <c r="C24" s="20"/>
      <c r="F24" s="20" t="s">
        <v>162</v>
      </c>
      <c r="H24" s="90"/>
    </row>
    <row r="25" spans="1:8" s="37" customFormat="1" ht="15">
      <c r="A25" s="38"/>
      <c r="B25" s="20"/>
      <c r="C25" s="20"/>
      <c r="F25" s="20" t="s">
        <v>100</v>
      </c>
      <c r="H25" s="90"/>
    </row>
    <row r="26" spans="1:8" s="37" customFormat="1" ht="11.25" customHeight="1">
      <c r="A26" s="38"/>
      <c r="B26" s="20"/>
      <c r="C26" s="20"/>
      <c r="F26" s="20"/>
      <c r="H26" s="90"/>
    </row>
    <row r="27" spans="1:8" s="37" customFormat="1" ht="12.75">
      <c r="A27" s="38"/>
      <c r="H27" s="90"/>
    </row>
    <row r="28" spans="1:8" s="37" customFormat="1" ht="12.75">
      <c r="A28" s="38"/>
      <c r="H28" s="90"/>
    </row>
    <row r="29" spans="1:8" s="32" customFormat="1" ht="12.75">
      <c r="A29" s="55"/>
      <c r="H29" s="37"/>
    </row>
    <row r="30" spans="8:10" ht="12.75">
      <c r="H30" s="4"/>
      <c r="I30" s="19"/>
      <c r="J30" s="19"/>
    </row>
    <row r="31" spans="8:10" ht="12.75">
      <c r="H31" s="4"/>
      <c r="I31" s="19"/>
      <c r="J31" s="19"/>
    </row>
    <row r="34" spans="3:12" s="32" customFormat="1" ht="15">
      <c r="C34" s="2"/>
      <c r="D34" s="12"/>
      <c r="E34" s="3"/>
      <c r="F34" s="3"/>
      <c r="G34" s="2"/>
      <c r="H34" s="3"/>
      <c r="I34" s="68"/>
      <c r="J34" s="3"/>
      <c r="K34" s="3"/>
      <c r="L34" s="33"/>
    </row>
    <row r="35" spans="3:12" s="32" customFormat="1" ht="15">
      <c r="C35" s="2"/>
      <c r="D35" s="12"/>
      <c r="E35" s="3"/>
      <c r="F35" s="3"/>
      <c r="G35" s="2"/>
      <c r="H35" s="3"/>
      <c r="I35" s="68"/>
      <c r="J35" s="3"/>
      <c r="K35" s="3"/>
      <c r="L35" s="33"/>
    </row>
    <row r="36" spans="3:12" s="32" customFormat="1" ht="15">
      <c r="C36" s="2"/>
      <c r="D36" s="12"/>
      <c r="E36" s="3"/>
      <c r="F36" s="3"/>
      <c r="G36" s="2"/>
      <c r="H36" s="3"/>
      <c r="I36" s="68"/>
      <c r="J36" s="3"/>
      <c r="K36" s="3"/>
      <c r="L36" s="33"/>
    </row>
    <row r="37" spans="3:12" s="32" customFormat="1" ht="15">
      <c r="C37" s="2"/>
      <c r="D37" s="12"/>
      <c r="E37" s="3"/>
      <c r="F37" s="3"/>
      <c r="G37" s="2"/>
      <c r="H37" s="3"/>
      <c r="I37" s="68"/>
      <c r="J37" s="3"/>
      <c r="K37" s="3"/>
      <c r="L37" s="33"/>
    </row>
    <row r="38" spans="3:12" s="32" customFormat="1" ht="15">
      <c r="C38" s="2"/>
      <c r="D38" s="12"/>
      <c r="E38" s="3"/>
      <c r="F38" s="3"/>
      <c r="G38" s="2"/>
      <c r="H38" s="3"/>
      <c r="I38" s="68"/>
      <c r="J38" s="3"/>
      <c r="K38" s="3"/>
      <c r="L38" s="33"/>
    </row>
    <row r="39" spans="3:12" s="32" customFormat="1" ht="15">
      <c r="C39" s="2"/>
      <c r="D39" s="12"/>
      <c r="E39" s="3"/>
      <c r="F39" s="3"/>
      <c r="G39" s="2"/>
      <c r="H39" s="3"/>
      <c r="I39" s="68"/>
      <c r="J39" s="3"/>
      <c r="K39" s="3"/>
      <c r="L39" s="33"/>
    </row>
    <row r="40" spans="3:12" s="32" customFormat="1" ht="15">
      <c r="C40" s="2"/>
      <c r="D40" s="12"/>
      <c r="E40" s="3"/>
      <c r="F40" s="3"/>
      <c r="G40" s="2"/>
      <c r="H40" s="3"/>
      <c r="I40" s="68"/>
      <c r="J40" s="3"/>
      <c r="K40" s="3"/>
      <c r="L40" s="33"/>
    </row>
    <row r="41" spans="3:12" s="32" customFormat="1" ht="15">
      <c r="C41" s="2"/>
      <c r="D41" s="12"/>
      <c r="E41" s="3"/>
      <c r="F41" s="3"/>
      <c r="G41" s="2"/>
      <c r="H41" s="3"/>
      <c r="I41" s="68"/>
      <c r="J41" s="3"/>
      <c r="K41" s="3"/>
      <c r="L41" s="33"/>
    </row>
    <row r="42" spans="3:12" s="32" customFormat="1" ht="15">
      <c r="C42" s="2"/>
      <c r="D42" s="12"/>
      <c r="E42" s="3"/>
      <c r="F42" s="3"/>
      <c r="G42" s="2"/>
      <c r="H42" s="3"/>
      <c r="I42" s="68"/>
      <c r="J42" s="3"/>
      <c r="K42" s="3"/>
      <c r="L42" s="33"/>
    </row>
    <row r="43" spans="3:12" s="32" customFormat="1" ht="15">
      <c r="C43" s="2"/>
      <c r="D43" s="12"/>
      <c r="E43" s="3"/>
      <c r="F43" s="3"/>
      <c r="G43" s="2"/>
      <c r="H43" s="3"/>
      <c r="I43" s="68"/>
      <c r="J43" s="3"/>
      <c r="K43" s="3"/>
      <c r="L43" s="33"/>
    </row>
    <row r="44" spans="3:12" s="32" customFormat="1" ht="15">
      <c r="C44" s="2"/>
      <c r="D44" s="12"/>
      <c r="E44" s="3"/>
      <c r="F44" s="3"/>
      <c r="G44" s="2"/>
      <c r="H44" s="3"/>
      <c r="I44" s="68"/>
      <c r="J44" s="3"/>
      <c r="K44" s="3"/>
      <c r="L44" s="33"/>
    </row>
    <row r="45" spans="3:12" s="32" customFormat="1" ht="15">
      <c r="C45" s="2"/>
      <c r="D45" s="12"/>
      <c r="E45" s="3"/>
      <c r="F45" s="3"/>
      <c r="G45" s="2"/>
      <c r="H45" s="3"/>
      <c r="I45" s="68"/>
      <c r="J45" s="3"/>
      <c r="K45" s="3"/>
      <c r="L45" s="33"/>
    </row>
    <row r="46" spans="3:12" s="32" customFormat="1" ht="15">
      <c r="C46" s="2"/>
      <c r="D46" s="12"/>
      <c r="E46" s="3"/>
      <c r="F46" s="3"/>
      <c r="G46" s="2"/>
      <c r="H46" s="3"/>
      <c r="I46" s="68"/>
      <c r="J46" s="3"/>
      <c r="K46" s="3"/>
      <c r="L46" s="33"/>
    </row>
    <row r="47" spans="3:12" s="32" customFormat="1" ht="15">
      <c r="C47" s="2"/>
      <c r="D47" s="12"/>
      <c r="E47" s="3"/>
      <c r="F47" s="3"/>
      <c r="G47" s="2"/>
      <c r="H47" s="3"/>
      <c r="I47" s="68"/>
      <c r="J47" s="3"/>
      <c r="K47" s="3"/>
      <c r="L47" s="33"/>
    </row>
    <row r="48" spans="3:12" s="32" customFormat="1" ht="15">
      <c r="C48" s="2"/>
      <c r="D48" s="12"/>
      <c r="E48" s="3"/>
      <c r="F48" s="3"/>
      <c r="G48" s="2"/>
      <c r="H48" s="3"/>
      <c r="I48" s="68"/>
      <c r="J48" s="3"/>
      <c r="K48" s="3"/>
      <c r="L48" s="33"/>
    </row>
    <row r="49" spans="3:12" s="32" customFormat="1" ht="15">
      <c r="C49" s="2"/>
      <c r="D49" s="12"/>
      <c r="E49" s="3"/>
      <c r="F49" s="3"/>
      <c r="G49" s="2"/>
      <c r="H49" s="3"/>
      <c r="I49" s="68"/>
      <c r="J49" s="3"/>
      <c r="K49" s="3"/>
      <c r="L49" s="33"/>
    </row>
    <row r="50" spans="3:12" s="32" customFormat="1" ht="15">
      <c r="C50" s="2"/>
      <c r="D50" s="12"/>
      <c r="E50" s="3"/>
      <c r="F50" s="3"/>
      <c r="G50" s="2"/>
      <c r="H50" s="3"/>
      <c r="I50" s="68"/>
      <c r="J50" s="3"/>
      <c r="K50" s="3"/>
      <c r="L50" s="33"/>
    </row>
    <row r="51" spans="3:12" s="32" customFormat="1" ht="15">
      <c r="C51" s="2"/>
      <c r="D51" s="12"/>
      <c r="E51" s="3"/>
      <c r="F51" s="3"/>
      <c r="G51" s="2"/>
      <c r="H51" s="3"/>
      <c r="I51" s="68"/>
      <c r="J51" s="3"/>
      <c r="K51" s="3"/>
      <c r="L51" s="33"/>
    </row>
    <row r="52" spans="3:12" s="32" customFormat="1" ht="15">
      <c r="C52" s="2"/>
      <c r="D52" s="12"/>
      <c r="E52" s="3"/>
      <c r="F52" s="3"/>
      <c r="G52" s="2"/>
      <c r="H52" s="3"/>
      <c r="I52" s="68"/>
      <c r="J52" s="3"/>
      <c r="K52" s="3"/>
      <c r="L52" s="33"/>
    </row>
    <row r="53" spans="3:12" s="32" customFormat="1" ht="15">
      <c r="C53" s="2"/>
      <c r="D53" s="12"/>
      <c r="E53" s="3"/>
      <c r="F53" s="3"/>
      <c r="G53" s="2"/>
      <c r="H53" s="3"/>
      <c r="I53" s="68"/>
      <c r="J53" s="3"/>
      <c r="K53" s="3"/>
      <c r="L53" s="33"/>
    </row>
    <row r="54" spans="3:12" s="32" customFormat="1" ht="15">
      <c r="C54" s="2"/>
      <c r="D54" s="12"/>
      <c r="E54" s="3"/>
      <c r="F54" s="3"/>
      <c r="G54" s="2"/>
      <c r="H54" s="3"/>
      <c r="I54" s="68"/>
      <c r="J54" s="3"/>
      <c r="K54" s="3"/>
      <c r="L54" s="33"/>
    </row>
    <row r="55" spans="3:12" s="32" customFormat="1" ht="15">
      <c r="C55" s="2"/>
      <c r="D55" s="12"/>
      <c r="E55" s="3"/>
      <c r="F55" s="3"/>
      <c r="G55" s="2"/>
      <c r="H55" s="3"/>
      <c r="I55" s="68"/>
      <c r="J55" s="3"/>
      <c r="K55" s="3"/>
      <c r="L55" s="33"/>
    </row>
    <row r="56" spans="3:12" s="32" customFormat="1" ht="15">
      <c r="C56" s="2"/>
      <c r="D56" s="12"/>
      <c r="E56" s="3"/>
      <c r="F56" s="3"/>
      <c r="G56" s="2"/>
      <c r="H56" s="3"/>
      <c r="I56" s="68"/>
      <c r="J56" s="3"/>
      <c r="K56" s="3"/>
      <c r="L56" s="33"/>
    </row>
    <row r="57" spans="3:12" s="32" customFormat="1" ht="15">
      <c r="C57" s="2"/>
      <c r="D57" s="12"/>
      <c r="E57" s="3"/>
      <c r="F57" s="3"/>
      <c r="G57" s="2"/>
      <c r="H57" s="3"/>
      <c r="I57" s="68"/>
      <c r="J57" s="3"/>
      <c r="K57" s="3"/>
      <c r="L57" s="33"/>
    </row>
  </sheetData>
  <mergeCells count="5">
    <mergeCell ref="M9:N9"/>
    <mergeCell ref="D2:N2"/>
    <mergeCell ref="D5:N5"/>
    <mergeCell ref="D3:L3"/>
    <mergeCell ref="D4:L4"/>
  </mergeCells>
  <printOptions horizontalCentered="1"/>
  <pageMargins left="0.2755905511811024" right="0.2362204724409449" top="0.5905511811023623" bottom="0.31496062992125984" header="0" footer="0"/>
  <pageSetup fitToHeight="0" fitToWidth="1" horizontalDpi="1200" verticalDpi="12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75" zoomScaleNormal="75" workbookViewId="0" topLeftCell="A1">
      <selection activeCell="C10" sqref="C10"/>
    </sheetView>
  </sheetViews>
  <sheetFormatPr defaultColWidth="9.00390625" defaultRowHeight="12.75"/>
  <cols>
    <col min="1" max="1" width="0.875" style="32" customWidth="1"/>
    <col min="2" max="2" width="4.50390625" style="32" customWidth="1"/>
    <col min="3" max="3" width="20.625" style="7" customWidth="1"/>
    <col min="4" max="4" width="11.00390625" style="12" customWidth="1"/>
    <col min="5" max="5" width="7.375" style="3" customWidth="1"/>
    <col min="6" max="6" width="7.625" style="3" customWidth="1"/>
    <col min="7" max="7" width="13.50390625" style="2" customWidth="1"/>
    <col min="8" max="8" width="23.375" style="10" customWidth="1"/>
    <col min="9" max="9" width="6.875" style="14" customWidth="1"/>
    <col min="10" max="10" width="11.50390625" style="3" customWidth="1"/>
    <col min="11" max="11" width="8.00390625" style="10" customWidth="1"/>
    <col min="12" max="12" width="10.50390625" style="1" customWidth="1"/>
    <col min="13" max="13" width="8.625" style="0" customWidth="1"/>
    <col min="14" max="14" width="18.125" style="0" customWidth="1"/>
    <col min="15" max="15" width="7.625" style="0" customWidth="1"/>
    <col min="16" max="16" width="7.875" style="0" customWidth="1"/>
    <col min="17" max="17" width="7.375" style="0" customWidth="1"/>
    <col min="18" max="18" width="6.625" style="0" customWidth="1"/>
    <col min="19" max="19" width="6.875" style="0" customWidth="1"/>
    <col min="20" max="20" width="9.50390625" style="0" customWidth="1"/>
  </cols>
  <sheetData>
    <row r="1" spans="3:20" ht="12.75">
      <c r="C1" s="32"/>
      <c r="D1" s="55"/>
      <c r="E1" s="55"/>
      <c r="F1" s="55"/>
      <c r="G1" s="56"/>
      <c r="H1" s="55"/>
      <c r="I1" s="67"/>
      <c r="J1" s="57"/>
      <c r="K1" s="58"/>
      <c r="L1" s="59"/>
      <c r="M1" s="57"/>
      <c r="N1" s="57"/>
      <c r="O1" s="57"/>
      <c r="P1" s="57"/>
      <c r="Q1" s="57"/>
      <c r="R1" s="57"/>
      <c r="S1" s="57"/>
      <c r="T1" s="60"/>
    </row>
    <row r="2" spans="2:20" s="4" customFormat="1" ht="22.5" customHeight="1">
      <c r="B2" s="15"/>
      <c r="C2" s="22"/>
      <c r="D2" s="61" t="s">
        <v>9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5"/>
    </row>
    <row r="3" spans="2:20" s="4" customFormat="1" ht="24" customHeight="1">
      <c r="B3" s="16"/>
      <c r="C3" s="23"/>
      <c r="D3" s="97" t="s">
        <v>10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5"/>
    </row>
    <row r="4" spans="2:20" s="4" customFormat="1" ht="19.5" customHeight="1">
      <c r="B4" s="16"/>
      <c r="C4" s="23"/>
      <c r="D4" s="98" t="s">
        <v>11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5"/>
    </row>
    <row r="5" spans="2:20" s="4" customFormat="1" ht="36.75" customHeight="1">
      <c r="B5" s="40" t="s">
        <v>6</v>
      </c>
      <c r="C5" s="24"/>
      <c r="D5" s="92" t="s">
        <v>82</v>
      </c>
      <c r="E5" s="96"/>
      <c r="F5" s="96"/>
      <c r="G5" s="96"/>
      <c r="H5" s="96"/>
      <c r="I5" s="96"/>
      <c r="J5" s="96"/>
      <c r="K5" s="96"/>
      <c r="L5" s="96"/>
      <c r="M5" s="94"/>
      <c r="N5" s="94"/>
      <c r="O5" s="94"/>
      <c r="P5" s="94"/>
      <c r="Q5" s="94"/>
      <c r="R5" s="94"/>
      <c r="S5" s="94"/>
      <c r="T5" s="95"/>
    </row>
    <row r="6" spans="2:20" s="4" customFormat="1" ht="15" customHeight="1">
      <c r="B6" s="17" t="s">
        <v>7</v>
      </c>
      <c r="C6" s="25"/>
      <c r="D6" s="100" t="s">
        <v>101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5"/>
    </row>
    <row r="7" spans="2:20" s="4" customFormat="1" ht="18.75" customHeight="1">
      <c r="B7" s="17" t="s">
        <v>8</v>
      </c>
      <c r="C7" s="25"/>
      <c r="D7" s="99" t="s">
        <v>163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5"/>
    </row>
    <row r="8" spans="2:20" s="4" customFormat="1" ht="18.75" customHeight="1">
      <c r="B8" s="43"/>
      <c r="C8" s="8"/>
      <c r="D8" s="44"/>
      <c r="E8" s="44"/>
      <c r="F8" s="45"/>
      <c r="G8" s="46"/>
      <c r="H8" s="47" t="s">
        <v>12</v>
      </c>
      <c r="I8" s="44"/>
      <c r="J8" s="44"/>
      <c r="K8" s="48"/>
      <c r="L8" s="45"/>
      <c r="M8" s="44"/>
      <c r="N8" s="44"/>
      <c r="O8" s="44"/>
      <c r="P8" s="44"/>
      <c r="Q8" s="44"/>
      <c r="R8" s="44"/>
      <c r="S8" s="44"/>
      <c r="T8" s="49"/>
    </row>
    <row r="9" spans="2:20" s="26" customFormat="1" ht="26.25">
      <c r="B9" s="5" t="s">
        <v>104</v>
      </c>
      <c r="C9" s="27" t="s">
        <v>17</v>
      </c>
      <c r="D9" s="27" t="s">
        <v>18</v>
      </c>
      <c r="E9" s="27" t="s">
        <v>19</v>
      </c>
      <c r="F9" s="28" t="s">
        <v>20</v>
      </c>
      <c r="G9" s="28" t="s">
        <v>21</v>
      </c>
      <c r="H9" s="28" t="s">
        <v>13</v>
      </c>
      <c r="I9" s="28" t="s">
        <v>14</v>
      </c>
      <c r="J9" s="28" t="s">
        <v>2</v>
      </c>
      <c r="K9" s="28" t="s">
        <v>15</v>
      </c>
      <c r="L9" s="27" t="s">
        <v>16</v>
      </c>
      <c r="M9" s="92" t="s">
        <v>81</v>
      </c>
      <c r="N9" s="93"/>
      <c r="O9" s="27" t="s">
        <v>85</v>
      </c>
      <c r="P9" s="27" t="s">
        <v>86</v>
      </c>
      <c r="Q9" s="27" t="s">
        <v>87</v>
      </c>
      <c r="R9" s="27" t="s">
        <v>88</v>
      </c>
      <c r="S9" s="27" t="s">
        <v>89</v>
      </c>
      <c r="T9" s="27" t="s">
        <v>90</v>
      </c>
    </row>
    <row r="10" spans="2:20" s="4" customFormat="1" ht="102" customHeight="1">
      <c r="B10" s="18">
        <v>1</v>
      </c>
      <c r="C10" s="9" t="s">
        <v>43</v>
      </c>
      <c r="D10" s="41" t="s">
        <v>44</v>
      </c>
      <c r="E10" s="18">
        <v>10</v>
      </c>
      <c r="F10" s="11" t="s">
        <v>29</v>
      </c>
      <c r="G10" s="5" t="s">
        <v>164</v>
      </c>
      <c r="H10" s="5" t="s">
        <v>165</v>
      </c>
      <c r="I10" s="52" t="s">
        <v>166</v>
      </c>
      <c r="J10" s="5" t="s">
        <v>167</v>
      </c>
      <c r="K10" s="6">
        <v>1</v>
      </c>
      <c r="L10" s="18" t="s">
        <v>168</v>
      </c>
      <c r="M10" s="42" t="s">
        <v>35</v>
      </c>
      <c r="N10" s="51" t="s">
        <v>169</v>
      </c>
      <c r="O10" s="18">
        <f>82+40+30+70</f>
        <v>222</v>
      </c>
      <c r="P10" s="18">
        <f>18+50+45+60</f>
        <v>173</v>
      </c>
      <c r="Q10" s="18">
        <f>24+30+0+40</f>
        <v>94</v>
      </c>
      <c r="R10" s="18">
        <f>15+5+15+25</f>
        <v>60</v>
      </c>
      <c r="S10" s="18">
        <f>10+15+15+15</f>
        <v>55</v>
      </c>
      <c r="T10" s="62">
        <f aca="true" t="shared" si="0" ref="T10:T15">O10+P10+Q10+R10+S10</f>
        <v>604</v>
      </c>
    </row>
    <row r="11" spans="2:20" s="4" customFormat="1" ht="46.5" customHeight="1">
      <c r="B11" s="18">
        <v>2</v>
      </c>
      <c r="C11" s="9" t="s">
        <v>170</v>
      </c>
      <c r="D11" s="41" t="s">
        <v>171</v>
      </c>
      <c r="E11" s="18">
        <v>14</v>
      </c>
      <c r="F11" s="11" t="s">
        <v>75</v>
      </c>
      <c r="G11" s="5" t="s">
        <v>164</v>
      </c>
      <c r="H11" s="5" t="s">
        <v>172</v>
      </c>
      <c r="I11" s="52" t="s">
        <v>166</v>
      </c>
      <c r="J11" s="5" t="s">
        <v>173</v>
      </c>
      <c r="K11" s="6">
        <v>2</v>
      </c>
      <c r="L11" s="18" t="s">
        <v>119</v>
      </c>
      <c r="M11" s="42" t="s">
        <v>53</v>
      </c>
      <c r="N11" s="11" t="s">
        <v>174</v>
      </c>
      <c r="O11" s="18">
        <f>70+30+15+60</f>
        <v>175</v>
      </c>
      <c r="P11" s="18">
        <f>17+10+20+60</f>
        <v>107</v>
      </c>
      <c r="Q11" s="18">
        <f>21-10+0+20</f>
        <v>31</v>
      </c>
      <c r="R11" s="18">
        <f>15+10+10+20</f>
        <v>55</v>
      </c>
      <c r="S11" s="18">
        <f>10+5+10+5</f>
        <v>30</v>
      </c>
      <c r="T11" s="62">
        <f t="shared" si="0"/>
        <v>398</v>
      </c>
    </row>
    <row r="12" spans="2:20" s="4" customFormat="1" ht="78.75" customHeight="1">
      <c r="B12" s="18">
        <v>3</v>
      </c>
      <c r="C12" s="9" t="s">
        <v>175</v>
      </c>
      <c r="D12" s="41" t="s">
        <v>176</v>
      </c>
      <c r="E12" s="18">
        <v>14</v>
      </c>
      <c r="F12" s="11" t="s">
        <v>177</v>
      </c>
      <c r="G12" s="5" t="s">
        <v>178</v>
      </c>
      <c r="H12" s="5" t="s">
        <v>179</v>
      </c>
      <c r="I12" s="52" t="s">
        <v>166</v>
      </c>
      <c r="J12" s="5" t="s">
        <v>180</v>
      </c>
      <c r="K12" s="6">
        <v>3</v>
      </c>
      <c r="L12" s="18" t="s">
        <v>181</v>
      </c>
      <c r="M12" s="42" t="s">
        <v>182</v>
      </c>
      <c r="N12" s="11" t="s">
        <v>183</v>
      </c>
      <c r="O12" s="18">
        <f>60+20+15+58</f>
        <v>153</v>
      </c>
      <c r="P12" s="18">
        <f>8+45+20+45</f>
        <v>118</v>
      </c>
      <c r="Q12" s="18">
        <f>10-30+0+25</f>
        <v>5</v>
      </c>
      <c r="R12" s="18">
        <f>5+0+10+20</f>
        <v>35</v>
      </c>
      <c r="S12" s="18">
        <f>18+15+5+14</f>
        <v>52</v>
      </c>
      <c r="T12" s="62">
        <f t="shared" si="0"/>
        <v>363</v>
      </c>
    </row>
    <row r="13" spans="2:20" s="4" customFormat="1" ht="60">
      <c r="B13" s="18">
        <v>4</v>
      </c>
      <c r="C13" s="5" t="s">
        <v>184</v>
      </c>
      <c r="D13" s="41" t="s">
        <v>185</v>
      </c>
      <c r="E13" s="18">
        <v>13</v>
      </c>
      <c r="F13" s="11" t="s">
        <v>75</v>
      </c>
      <c r="G13" s="5" t="s">
        <v>164</v>
      </c>
      <c r="H13" s="5" t="s">
        <v>186</v>
      </c>
      <c r="I13" s="52" t="s">
        <v>166</v>
      </c>
      <c r="J13" s="5" t="s">
        <v>187</v>
      </c>
      <c r="K13" s="18">
        <v>4</v>
      </c>
      <c r="L13" s="18" t="s">
        <v>188</v>
      </c>
      <c r="M13" s="42" t="s">
        <v>35</v>
      </c>
      <c r="N13" s="51" t="s">
        <v>189</v>
      </c>
      <c r="O13" s="18">
        <f>32+30+20+40</f>
        <v>122</v>
      </c>
      <c r="P13" s="18">
        <f>15+0+20+30</f>
        <v>65</v>
      </c>
      <c r="Q13" s="18">
        <f>25+0+0+40</f>
        <v>65</v>
      </c>
      <c r="R13" s="18">
        <f>12+10+10+13</f>
        <v>45</v>
      </c>
      <c r="S13" s="18">
        <f>15+10+10+10</f>
        <v>45</v>
      </c>
      <c r="T13" s="65">
        <f t="shared" si="0"/>
        <v>342</v>
      </c>
    </row>
    <row r="14" spans="2:20" s="4" customFormat="1" ht="39">
      <c r="B14" s="18">
        <v>5</v>
      </c>
      <c r="C14" s="5" t="s">
        <v>190</v>
      </c>
      <c r="D14" s="41" t="s">
        <v>191</v>
      </c>
      <c r="E14" s="18">
        <v>4</v>
      </c>
      <c r="F14" s="11" t="s">
        <v>177</v>
      </c>
      <c r="G14" s="5" t="s">
        <v>192</v>
      </c>
      <c r="H14" s="5" t="s">
        <v>193</v>
      </c>
      <c r="I14" s="52" t="s">
        <v>166</v>
      </c>
      <c r="J14" s="5" t="s">
        <v>194</v>
      </c>
      <c r="K14" s="18">
        <v>5</v>
      </c>
      <c r="L14" s="18" t="s">
        <v>195</v>
      </c>
      <c r="M14" s="42" t="s">
        <v>53</v>
      </c>
      <c r="N14" s="11" t="s">
        <v>196</v>
      </c>
      <c r="O14" s="18">
        <f>65+60+40+20</f>
        <v>185</v>
      </c>
      <c r="P14" s="18">
        <f>15+0+20+0</f>
        <v>35</v>
      </c>
      <c r="Q14" s="18">
        <f>12+0+0+10</f>
        <v>22</v>
      </c>
      <c r="R14" s="18">
        <f>10+5+15+10</f>
        <v>40</v>
      </c>
      <c r="S14" s="18">
        <f>9+10+10+0</f>
        <v>29</v>
      </c>
      <c r="T14" s="65">
        <f t="shared" si="0"/>
        <v>311</v>
      </c>
    </row>
    <row r="15" spans="2:20" s="4" customFormat="1" ht="39">
      <c r="B15" s="18">
        <v>6</v>
      </c>
      <c r="C15" s="5" t="s">
        <v>197</v>
      </c>
      <c r="D15" s="41" t="s">
        <v>198</v>
      </c>
      <c r="E15" s="18">
        <v>8</v>
      </c>
      <c r="F15" s="11" t="s">
        <v>177</v>
      </c>
      <c r="G15" s="5" t="s">
        <v>199</v>
      </c>
      <c r="H15" s="5" t="s">
        <v>200</v>
      </c>
      <c r="I15" s="52" t="s">
        <v>166</v>
      </c>
      <c r="J15" s="5" t="s">
        <v>201</v>
      </c>
      <c r="K15" s="18">
        <v>6</v>
      </c>
      <c r="L15" s="18" t="s">
        <v>202</v>
      </c>
      <c r="M15" s="42" t="s">
        <v>53</v>
      </c>
      <c r="N15" s="51" t="s">
        <v>203</v>
      </c>
      <c r="O15" s="18">
        <f>60+20+20+20</f>
        <v>120</v>
      </c>
      <c r="P15" s="18">
        <f>15+0+20+0</f>
        <v>35</v>
      </c>
      <c r="Q15" s="18">
        <f>11-10+10+40</f>
        <v>51</v>
      </c>
      <c r="R15" s="18">
        <f>6+0+15+15</f>
        <v>36</v>
      </c>
      <c r="S15" s="18">
        <f>10+10+10+3</f>
        <v>33</v>
      </c>
      <c r="T15" s="65">
        <f t="shared" si="0"/>
        <v>275</v>
      </c>
    </row>
    <row r="17" spans="1:16" s="19" customFormat="1" ht="15">
      <c r="A17" s="38"/>
      <c r="B17" s="20" t="s">
        <v>155</v>
      </c>
      <c r="C17" s="20"/>
      <c r="D17" s="37"/>
      <c r="E17" s="37"/>
      <c r="F17" s="37"/>
      <c r="G17" s="20" t="s">
        <v>156</v>
      </c>
      <c r="H17" s="30"/>
      <c r="I17" s="37"/>
      <c r="J17" s="20" t="s">
        <v>79</v>
      </c>
      <c r="K17" s="38"/>
      <c r="L17" s="37"/>
      <c r="M17" s="37"/>
      <c r="N17" s="37"/>
      <c r="O17" s="20" t="s">
        <v>23</v>
      </c>
      <c r="P17" s="30"/>
    </row>
    <row r="18" spans="1:16" s="19" customFormat="1" ht="15">
      <c r="A18" s="38"/>
      <c r="B18" s="20"/>
      <c r="C18" s="20"/>
      <c r="D18" s="37"/>
      <c r="E18" s="37"/>
      <c r="F18" s="37"/>
      <c r="G18" s="20" t="s">
        <v>159</v>
      </c>
      <c r="H18" s="30"/>
      <c r="I18" s="37"/>
      <c r="J18" s="20" t="s">
        <v>80</v>
      </c>
      <c r="K18" s="38"/>
      <c r="L18" s="37"/>
      <c r="M18" s="37"/>
      <c r="N18" s="37"/>
      <c r="O18" s="20" t="s">
        <v>100</v>
      </c>
      <c r="P18" s="30"/>
    </row>
    <row r="19" spans="1:16" s="19" customFormat="1" ht="8.25" customHeight="1">
      <c r="A19" s="38"/>
      <c r="B19" s="20"/>
      <c r="C19" s="20"/>
      <c r="D19" s="37"/>
      <c r="E19" s="37"/>
      <c r="F19" s="37"/>
      <c r="G19" s="20"/>
      <c r="H19" s="31"/>
      <c r="I19" s="37"/>
      <c r="J19" s="20"/>
      <c r="K19" s="20"/>
      <c r="L19" s="20"/>
      <c r="M19" s="32"/>
      <c r="N19" s="32"/>
      <c r="O19" s="29"/>
      <c r="P19" s="31"/>
    </row>
    <row r="20" spans="1:16" s="19" customFormat="1" ht="15">
      <c r="A20" s="38"/>
      <c r="B20" s="20"/>
      <c r="C20" s="20"/>
      <c r="D20" s="37"/>
      <c r="E20" s="37"/>
      <c r="F20" s="37"/>
      <c r="G20" s="20" t="s">
        <v>161</v>
      </c>
      <c r="H20" s="30"/>
      <c r="I20" s="37"/>
      <c r="J20" s="20" t="s">
        <v>157</v>
      </c>
      <c r="K20" s="4"/>
      <c r="L20" s="4"/>
      <c r="M20" s="4"/>
      <c r="N20" s="4"/>
      <c r="O20" s="20" t="s">
        <v>158</v>
      </c>
      <c r="P20" s="4"/>
    </row>
    <row r="21" spans="1:16" s="19" customFormat="1" ht="15">
      <c r="A21" s="38"/>
      <c r="B21" s="20"/>
      <c r="C21" s="20"/>
      <c r="D21" s="37"/>
      <c r="E21" s="37"/>
      <c r="F21" s="37"/>
      <c r="G21" s="20" t="s">
        <v>99</v>
      </c>
      <c r="H21" s="30"/>
      <c r="I21" s="37"/>
      <c r="J21" s="4"/>
      <c r="K21" s="4"/>
      <c r="L21" s="4"/>
      <c r="M21" s="4"/>
      <c r="N21" s="4"/>
      <c r="O21" s="20" t="s">
        <v>160</v>
      </c>
      <c r="P21" s="4"/>
    </row>
    <row r="22" spans="1:9" s="19" customFormat="1" ht="15">
      <c r="A22" s="38"/>
      <c r="B22" s="20"/>
      <c r="C22" s="20"/>
      <c r="D22" s="37"/>
      <c r="E22" s="37"/>
      <c r="F22" s="37"/>
      <c r="G22" s="20"/>
      <c r="H22" s="30"/>
      <c r="I22" s="37"/>
    </row>
    <row r="23" spans="1:9" s="19" customFormat="1" ht="15">
      <c r="A23" s="38"/>
      <c r="B23" s="20"/>
      <c r="C23" s="20"/>
      <c r="D23" s="37"/>
      <c r="E23" s="37"/>
      <c r="F23" s="37"/>
      <c r="G23" s="20" t="s">
        <v>162</v>
      </c>
      <c r="H23" s="30"/>
      <c r="I23" s="37"/>
    </row>
    <row r="24" spans="1:20" s="19" customFormat="1" ht="15">
      <c r="A24" s="38"/>
      <c r="B24" s="20"/>
      <c r="C24" s="20"/>
      <c r="D24" s="37"/>
      <c r="E24" s="37"/>
      <c r="F24" s="37"/>
      <c r="G24" s="20" t="s">
        <v>100</v>
      </c>
      <c r="H24" s="30"/>
      <c r="I24" s="37"/>
      <c r="O24"/>
      <c r="P24"/>
      <c r="Q24"/>
      <c r="R24"/>
      <c r="S24"/>
      <c r="T24"/>
    </row>
    <row r="25" spans="1:20" s="19" customFormat="1" ht="15">
      <c r="A25" s="38"/>
      <c r="B25" s="20"/>
      <c r="C25" s="20"/>
      <c r="D25" s="37"/>
      <c r="E25" s="37"/>
      <c r="F25" s="37"/>
      <c r="G25" s="20"/>
      <c r="H25" s="30"/>
      <c r="I25" s="37"/>
      <c r="O25"/>
      <c r="P25"/>
      <c r="Q25"/>
      <c r="R25"/>
      <c r="S25"/>
      <c r="T25"/>
    </row>
    <row r="26" spans="1:20" s="19" customFormat="1" ht="12.75">
      <c r="A26" s="38"/>
      <c r="I26" s="37"/>
      <c r="O26"/>
      <c r="P26"/>
      <c r="Q26"/>
      <c r="R26"/>
      <c r="S26"/>
      <c r="T26"/>
    </row>
    <row r="27" spans="1:20" s="19" customFormat="1" ht="12.75">
      <c r="A27" s="38"/>
      <c r="I27" s="37"/>
      <c r="O27"/>
      <c r="P27"/>
      <c r="Q27"/>
      <c r="R27"/>
      <c r="S27"/>
      <c r="T27"/>
    </row>
    <row r="28" spans="1:12" ht="9.75" customHeight="1">
      <c r="A28" s="55"/>
      <c r="I28" s="32"/>
      <c r="J28"/>
      <c r="K28"/>
      <c r="L28"/>
    </row>
    <row r="29" s="4" customFormat="1" ht="12.75"/>
    <row r="30" s="4" customFormat="1" ht="12.75"/>
    <row r="31" s="4" customFormat="1" ht="12.75"/>
    <row r="32" spans="3:12" s="32" customFormat="1" ht="15">
      <c r="C32" s="2"/>
      <c r="D32" s="12"/>
      <c r="E32" s="3"/>
      <c r="F32" s="3"/>
      <c r="G32" s="2"/>
      <c r="H32" s="3"/>
      <c r="I32" s="68"/>
      <c r="J32" s="3"/>
      <c r="K32" s="3"/>
      <c r="L32" s="33"/>
    </row>
  </sheetData>
  <mergeCells count="7">
    <mergeCell ref="D7:T7"/>
    <mergeCell ref="M9:N9"/>
    <mergeCell ref="D2:T2"/>
    <mergeCell ref="D3:T3"/>
    <mergeCell ref="D4:T4"/>
    <mergeCell ref="D5:T5"/>
    <mergeCell ref="D6:T6"/>
  </mergeCells>
  <printOptions horizontalCentered="1"/>
  <pageMargins left="0.2755905511811024" right="0.2362204724409449" top="0.5905511811023623" bottom="0.31496062992125984" header="0" footer="0"/>
  <pageSetup fitToHeight="0" fitToWidth="1"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75" zoomScaleNormal="75" workbookViewId="0" topLeftCell="A1">
      <selection activeCell="C10" sqref="C10"/>
    </sheetView>
  </sheetViews>
  <sheetFormatPr defaultColWidth="9.00390625" defaultRowHeight="12.75"/>
  <cols>
    <col min="1" max="1" width="1.4921875" style="0" customWidth="1"/>
    <col min="2" max="2" width="4.875" style="0" customWidth="1"/>
    <col min="3" max="3" width="20.125" style="0" customWidth="1"/>
    <col min="4" max="4" width="10.50390625" style="0" customWidth="1"/>
    <col min="5" max="5" width="7.625" style="0" customWidth="1"/>
    <col min="6" max="6" width="12.375" style="0" customWidth="1"/>
    <col min="7" max="7" width="13.875" style="0" customWidth="1"/>
    <col min="8" max="8" width="22.875" style="0" customWidth="1"/>
    <col min="9" max="9" width="9.125" style="0" customWidth="1"/>
    <col min="10" max="10" width="11.375" style="0" customWidth="1"/>
    <col min="11" max="11" width="8.125" style="0" customWidth="1"/>
    <col min="12" max="12" width="10.50390625" style="0" customWidth="1"/>
    <col min="13" max="13" width="9.00390625" style="0" customWidth="1"/>
    <col min="14" max="14" width="17.50390625" style="0" customWidth="1"/>
    <col min="15" max="15" width="8.50390625" style="0" customWidth="1"/>
    <col min="16" max="16" width="7.625" style="0" customWidth="1"/>
    <col min="17" max="17" width="6.875" style="0" customWidth="1"/>
    <col min="18" max="18" width="7.375" style="0" customWidth="1"/>
    <col min="19" max="19" width="7.125" style="0" customWidth="1"/>
  </cols>
  <sheetData>
    <row r="1" spans="1:20" ht="12.75">
      <c r="A1" s="32"/>
      <c r="B1" s="32"/>
      <c r="C1" s="32"/>
      <c r="D1" s="55"/>
      <c r="E1" s="55"/>
      <c r="F1" s="55"/>
      <c r="G1" s="56"/>
      <c r="H1" s="56"/>
      <c r="I1" s="55"/>
      <c r="J1" s="57"/>
      <c r="K1" s="58"/>
      <c r="L1" s="59"/>
      <c r="M1" s="57"/>
      <c r="N1" s="57"/>
      <c r="O1" s="57"/>
      <c r="P1" s="57"/>
      <c r="Q1" s="57"/>
      <c r="R1" s="57"/>
      <c r="S1" s="57"/>
      <c r="T1" s="60"/>
    </row>
    <row r="2" spans="2:20" s="4" customFormat="1" ht="22.5" customHeight="1">
      <c r="B2" s="15"/>
      <c r="C2" s="22"/>
      <c r="D2" s="61" t="s">
        <v>9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5"/>
    </row>
    <row r="3" spans="2:20" s="4" customFormat="1" ht="24" customHeight="1">
      <c r="B3" s="16"/>
      <c r="C3" s="23"/>
      <c r="D3" s="97" t="s">
        <v>10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5"/>
    </row>
    <row r="4" spans="2:20" s="4" customFormat="1" ht="19.5" customHeight="1">
      <c r="B4" s="16"/>
      <c r="C4" s="23"/>
      <c r="D4" s="98" t="s">
        <v>11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5"/>
    </row>
    <row r="5" spans="2:20" s="4" customFormat="1" ht="36.75" customHeight="1">
      <c r="B5" s="40" t="s">
        <v>6</v>
      </c>
      <c r="C5" s="24"/>
      <c r="D5" s="92" t="s">
        <v>82</v>
      </c>
      <c r="E5" s="96"/>
      <c r="F5" s="96"/>
      <c r="G5" s="96"/>
      <c r="H5" s="96"/>
      <c r="I5" s="96"/>
      <c r="J5" s="96"/>
      <c r="K5" s="96"/>
      <c r="L5" s="96"/>
      <c r="M5" s="94"/>
      <c r="N5" s="94"/>
      <c r="O5" s="94"/>
      <c r="P5" s="94"/>
      <c r="Q5" s="94"/>
      <c r="R5" s="94"/>
      <c r="S5" s="94"/>
      <c r="T5" s="95"/>
    </row>
    <row r="6" spans="2:20" s="4" customFormat="1" ht="15" customHeight="1">
      <c r="B6" s="17" t="s">
        <v>7</v>
      </c>
      <c r="C6" s="25"/>
      <c r="D6" s="100" t="s">
        <v>101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5"/>
    </row>
    <row r="7" spans="2:20" s="4" customFormat="1" ht="18.75" customHeight="1">
      <c r="B7" s="17" t="s">
        <v>8</v>
      </c>
      <c r="C7" s="25"/>
      <c r="D7" s="99" t="s">
        <v>103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5"/>
    </row>
    <row r="8" spans="2:20" s="4" customFormat="1" ht="18.75" customHeight="1">
      <c r="B8" s="43"/>
      <c r="C8" s="8"/>
      <c r="D8" s="44"/>
      <c r="E8" s="44"/>
      <c r="F8" s="45"/>
      <c r="G8" s="46"/>
      <c r="H8" s="46"/>
      <c r="I8" s="47" t="s">
        <v>12</v>
      </c>
      <c r="J8" s="44"/>
      <c r="K8" s="48"/>
      <c r="L8" s="45"/>
      <c r="M8" s="44"/>
      <c r="N8" s="44"/>
      <c r="O8" s="44"/>
      <c r="P8" s="44"/>
      <c r="Q8" s="44"/>
      <c r="R8" s="44"/>
      <c r="S8" s="44"/>
      <c r="T8" s="49"/>
    </row>
    <row r="9" spans="2:20" s="26" customFormat="1" ht="26.25">
      <c r="B9" s="5" t="s">
        <v>104</v>
      </c>
      <c r="C9" s="27" t="s">
        <v>17</v>
      </c>
      <c r="D9" s="27" t="s">
        <v>18</v>
      </c>
      <c r="E9" s="27" t="s">
        <v>19</v>
      </c>
      <c r="F9" s="28" t="s">
        <v>20</v>
      </c>
      <c r="G9" s="28" t="s">
        <v>21</v>
      </c>
      <c r="H9" s="28" t="s">
        <v>13</v>
      </c>
      <c r="I9" s="28" t="s">
        <v>14</v>
      </c>
      <c r="J9" s="28" t="s">
        <v>2</v>
      </c>
      <c r="K9" s="28" t="s">
        <v>15</v>
      </c>
      <c r="L9" s="27" t="s">
        <v>16</v>
      </c>
      <c r="M9" s="92" t="s">
        <v>81</v>
      </c>
      <c r="N9" s="93"/>
      <c r="O9" s="27" t="s">
        <v>85</v>
      </c>
      <c r="P9" s="27" t="s">
        <v>86</v>
      </c>
      <c r="Q9" s="27" t="s">
        <v>87</v>
      </c>
      <c r="R9" s="27" t="s">
        <v>88</v>
      </c>
      <c r="S9" s="27" t="s">
        <v>89</v>
      </c>
      <c r="T9" s="27" t="s">
        <v>90</v>
      </c>
    </row>
    <row r="10" spans="2:20" s="4" customFormat="1" ht="104.25" customHeight="1">
      <c r="B10" s="18">
        <v>1</v>
      </c>
      <c r="C10" s="9" t="s">
        <v>105</v>
      </c>
      <c r="D10" s="41" t="s">
        <v>66</v>
      </c>
      <c r="E10" s="18">
        <v>7</v>
      </c>
      <c r="F10" s="51" t="s">
        <v>106</v>
      </c>
      <c r="G10" s="5" t="s">
        <v>107</v>
      </c>
      <c r="H10" s="5" t="s">
        <v>108</v>
      </c>
      <c r="I10" s="5" t="s">
        <v>109</v>
      </c>
      <c r="J10" s="5" t="s">
        <v>110</v>
      </c>
      <c r="K10" s="62">
        <v>1</v>
      </c>
      <c r="L10" s="5" t="s">
        <v>111</v>
      </c>
      <c r="M10" s="42" t="s">
        <v>112</v>
      </c>
      <c r="N10" s="63" t="s">
        <v>113</v>
      </c>
      <c r="O10" s="18">
        <f>90+20+20</f>
        <v>130</v>
      </c>
      <c r="P10" s="18">
        <f>70+45+45</f>
        <v>160</v>
      </c>
      <c r="Q10" s="18">
        <f>32+12+0</f>
        <v>44</v>
      </c>
      <c r="R10" s="18">
        <f>15+10+0</f>
        <v>25</v>
      </c>
      <c r="S10" s="18">
        <f>20+20+20</f>
        <v>60</v>
      </c>
      <c r="T10" s="64">
        <f aca="true" t="shared" si="0" ref="T10:T16">O10+P10+Q10+R10+S10</f>
        <v>419</v>
      </c>
    </row>
    <row r="11" spans="2:20" s="4" customFormat="1" ht="51.75" customHeight="1">
      <c r="B11" s="18">
        <v>2</v>
      </c>
      <c r="C11" s="9" t="s">
        <v>114</v>
      </c>
      <c r="D11" s="41" t="s">
        <v>115</v>
      </c>
      <c r="E11" s="18">
        <v>7</v>
      </c>
      <c r="F11" s="11" t="s">
        <v>61</v>
      </c>
      <c r="G11" s="5" t="s">
        <v>116</v>
      </c>
      <c r="H11" s="5" t="s">
        <v>117</v>
      </c>
      <c r="I11" s="52" t="s">
        <v>76</v>
      </c>
      <c r="J11" s="5" t="s">
        <v>118</v>
      </c>
      <c r="K11" s="62">
        <v>2</v>
      </c>
      <c r="L11" s="18" t="s">
        <v>119</v>
      </c>
      <c r="M11" s="11" t="s">
        <v>35</v>
      </c>
      <c r="N11" s="42" t="s">
        <v>120</v>
      </c>
      <c r="O11" s="18">
        <f>87+50+70</f>
        <v>207</v>
      </c>
      <c r="P11" s="18">
        <f>41+15+5</f>
        <v>61</v>
      </c>
      <c r="Q11" s="18">
        <f>15+25-5</f>
        <v>35</v>
      </c>
      <c r="R11" s="18">
        <f>15+15+5</f>
        <v>35</v>
      </c>
      <c r="S11" s="18">
        <f>5+10-5</f>
        <v>10</v>
      </c>
      <c r="T11" s="64">
        <f t="shared" si="0"/>
        <v>348</v>
      </c>
    </row>
    <row r="12" spans="2:20" s="4" customFormat="1" ht="48" customHeight="1">
      <c r="B12" s="18">
        <v>3</v>
      </c>
      <c r="C12" s="9" t="s">
        <v>121</v>
      </c>
      <c r="D12" s="41" t="s">
        <v>122</v>
      </c>
      <c r="E12" s="18">
        <v>6</v>
      </c>
      <c r="F12" s="11" t="s">
        <v>123</v>
      </c>
      <c r="G12" s="5" t="s">
        <v>124</v>
      </c>
      <c r="H12" s="5" t="s">
        <v>125</v>
      </c>
      <c r="I12" s="52" t="s">
        <v>126</v>
      </c>
      <c r="J12" s="5" t="s">
        <v>127</v>
      </c>
      <c r="K12" s="62">
        <v>3</v>
      </c>
      <c r="L12" s="18" t="s">
        <v>119</v>
      </c>
      <c r="M12" s="11" t="s">
        <v>53</v>
      </c>
      <c r="N12" s="42" t="s">
        <v>120</v>
      </c>
      <c r="O12" s="18">
        <f>85+40+40</f>
        <v>165</v>
      </c>
      <c r="P12" s="18">
        <f>35+15+30</f>
        <v>80</v>
      </c>
      <c r="Q12" s="18">
        <f>-5+30+20</f>
        <v>45</v>
      </c>
      <c r="R12" s="18">
        <f>12+10+5</f>
        <v>27</v>
      </c>
      <c r="S12" s="18">
        <f>13+10+5</f>
        <v>28</v>
      </c>
      <c r="T12" s="64">
        <f t="shared" si="0"/>
        <v>345</v>
      </c>
    </row>
    <row r="13" spans="2:20" s="4" customFormat="1" ht="97.5" customHeight="1">
      <c r="B13" s="18">
        <v>4</v>
      </c>
      <c r="C13" s="5" t="s">
        <v>128</v>
      </c>
      <c r="D13" s="41" t="s">
        <v>129</v>
      </c>
      <c r="E13" s="18">
        <v>8</v>
      </c>
      <c r="F13" s="11" t="s">
        <v>130</v>
      </c>
      <c r="G13" s="5" t="s">
        <v>131</v>
      </c>
      <c r="H13" s="5" t="s">
        <v>132</v>
      </c>
      <c r="I13" s="52" t="s">
        <v>126</v>
      </c>
      <c r="J13" s="5" t="s">
        <v>133</v>
      </c>
      <c r="K13" s="65">
        <v>4</v>
      </c>
      <c r="L13" s="18" t="s">
        <v>134</v>
      </c>
      <c r="M13" s="11" t="s">
        <v>35</v>
      </c>
      <c r="N13" s="42" t="s">
        <v>135</v>
      </c>
      <c r="O13" s="18">
        <f>88+40+100</f>
        <v>228</v>
      </c>
      <c r="P13" s="18">
        <f>40+0+20</f>
        <v>60</v>
      </c>
      <c r="Q13" s="18">
        <f>10-5-40</f>
        <v>-35</v>
      </c>
      <c r="R13" s="18">
        <f>15+5+10</f>
        <v>30</v>
      </c>
      <c r="S13" s="18">
        <f>5+5+5</f>
        <v>15</v>
      </c>
      <c r="T13" s="6">
        <f t="shared" si="0"/>
        <v>298</v>
      </c>
    </row>
    <row r="14" spans="2:20" s="4" customFormat="1" ht="72" customHeight="1">
      <c r="B14" s="18">
        <v>5</v>
      </c>
      <c r="C14" s="5" t="s">
        <v>136</v>
      </c>
      <c r="D14" s="11" t="s">
        <v>137</v>
      </c>
      <c r="E14" s="18">
        <v>6</v>
      </c>
      <c r="F14" s="11" t="s">
        <v>3</v>
      </c>
      <c r="G14" s="5" t="s">
        <v>124</v>
      </c>
      <c r="H14" s="5" t="s">
        <v>125</v>
      </c>
      <c r="I14" s="52" t="s">
        <v>138</v>
      </c>
      <c r="J14" s="5" t="s">
        <v>139</v>
      </c>
      <c r="K14" s="65">
        <v>5</v>
      </c>
      <c r="L14" s="18" t="s">
        <v>140</v>
      </c>
      <c r="M14" s="42" t="s">
        <v>141</v>
      </c>
      <c r="N14" s="11" t="s">
        <v>142</v>
      </c>
      <c r="O14" s="18">
        <f>82+35+30</f>
        <v>147</v>
      </c>
      <c r="P14" s="18">
        <f>5+20+0</f>
        <v>25</v>
      </c>
      <c r="Q14" s="18">
        <f>25+30+0</f>
        <v>55</v>
      </c>
      <c r="R14" s="18">
        <f>10+15+5</f>
        <v>30</v>
      </c>
      <c r="S14" s="18">
        <f>9+10+5</f>
        <v>24</v>
      </c>
      <c r="T14" s="6">
        <f t="shared" si="0"/>
        <v>281</v>
      </c>
    </row>
    <row r="15" spans="2:20" s="4" customFormat="1" ht="55.5" customHeight="1">
      <c r="B15" s="18">
        <v>6</v>
      </c>
      <c r="C15" s="5" t="s">
        <v>143</v>
      </c>
      <c r="D15" s="41" t="s">
        <v>144</v>
      </c>
      <c r="E15" s="18">
        <v>9</v>
      </c>
      <c r="F15" s="11" t="s">
        <v>61</v>
      </c>
      <c r="G15" s="5" t="s">
        <v>145</v>
      </c>
      <c r="H15" s="5" t="s">
        <v>146</v>
      </c>
      <c r="I15" s="52" t="s">
        <v>138</v>
      </c>
      <c r="J15" s="5" t="s">
        <v>147</v>
      </c>
      <c r="K15" s="65">
        <v>6</v>
      </c>
      <c r="L15" s="18" t="s">
        <v>119</v>
      </c>
      <c r="M15" s="11" t="s">
        <v>35</v>
      </c>
      <c r="N15" s="42" t="s">
        <v>120</v>
      </c>
      <c r="O15" s="18">
        <f>40+20+40</f>
        <v>100</v>
      </c>
      <c r="P15" s="18">
        <f>10+5+0</f>
        <v>15</v>
      </c>
      <c r="Q15" s="18">
        <f>20+20+0</f>
        <v>40</v>
      </c>
      <c r="R15" s="18">
        <f>5+5+0</f>
        <v>10</v>
      </c>
      <c r="S15" s="18">
        <f>5+5+0</f>
        <v>10</v>
      </c>
      <c r="T15" s="6">
        <f t="shared" si="0"/>
        <v>175</v>
      </c>
    </row>
    <row r="16" spans="2:20" s="4" customFormat="1" ht="82.5" customHeight="1">
      <c r="B16" s="18">
        <v>7</v>
      </c>
      <c r="C16" s="5" t="s">
        <v>136</v>
      </c>
      <c r="D16" s="11" t="s">
        <v>148</v>
      </c>
      <c r="E16" s="18">
        <v>6</v>
      </c>
      <c r="F16" s="11" t="s">
        <v>3</v>
      </c>
      <c r="G16" s="5" t="s">
        <v>149</v>
      </c>
      <c r="H16" s="5" t="s">
        <v>150</v>
      </c>
      <c r="I16" s="66" t="s">
        <v>151</v>
      </c>
      <c r="J16" s="5" t="s">
        <v>152</v>
      </c>
      <c r="K16" s="65">
        <v>7</v>
      </c>
      <c r="L16" s="18" t="s">
        <v>153</v>
      </c>
      <c r="M16" s="11" t="s">
        <v>53</v>
      </c>
      <c r="N16" s="11" t="s">
        <v>154</v>
      </c>
      <c r="O16" s="18">
        <f>20+30+40</f>
        <v>90</v>
      </c>
      <c r="P16" s="18">
        <f>0+10+0</f>
        <v>10</v>
      </c>
      <c r="Q16" s="18">
        <f>12+5+20</f>
        <v>37</v>
      </c>
      <c r="R16" s="18">
        <f>2+5+0</f>
        <v>7</v>
      </c>
      <c r="S16" s="18">
        <f>2+10+5</f>
        <v>17</v>
      </c>
      <c r="T16" s="6">
        <f t="shared" si="0"/>
        <v>161</v>
      </c>
    </row>
    <row r="18" spans="1:16" s="19" customFormat="1" ht="15">
      <c r="A18" s="38"/>
      <c r="B18" s="20" t="s">
        <v>155</v>
      </c>
      <c r="C18" s="20"/>
      <c r="D18" s="37"/>
      <c r="E18" s="37"/>
      <c r="F18" s="37"/>
      <c r="G18" s="20" t="s">
        <v>156</v>
      </c>
      <c r="H18" s="30"/>
      <c r="I18" s="37"/>
      <c r="J18" s="20" t="s">
        <v>157</v>
      </c>
      <c r="K18" s="4"/>
      <c r="L18" s="4"/>
      <c r="M18" s="4"/>
      <c r="N18" s="4"/>
      <c r="O18" s="20" t="s">
        <v>158</v>
      </c>
      <c r="P18" s="30"/>
    </row>
    <row r="19" spans="1:16" s="19" customFormat="1" ht="15">
      <c r="A19" s="38"/>
      <c r="B19" s="20"/>
      <c r="C19" s="20"/>
      <c r="D19" s="37"/>
      <c r="E19" s="37"/>
      <c r="F19" s="37"/>
      <c r="G19" s="20" t="s">
        <v>159</v>
      </c>
      <c r="H19" s="30"/>
      <c r="I19" s="37"/>
      <c r="J19" s="4"/>
      <c r="K19" s="4"/>
      <c r="L19" s="4"/>
      <c r="M19" s="4"/>
      <c r="N19" s="4"/>
      <c r="O19" s="20" t="s">
        <v>160</v>
      </c>
      <c r="P19" s="30"/>
    </row>
    <row r="20" spans="1:16" s="19" customFormat="1" ht="8.25" customHeight="1">
      <c r="A20" s="38"/>
      <c r="B20" s="20"/>
      <c r="C20" s="20"/>
      <c r="D20" s="37"/>
      <c r="E20" s="37"/>
      <c r="F20" s="37"/>
      <c r="G20" s="20"/>
      <c r="H20" s="31"/>
      <c r="I20" s="37"/>
      <c r="J20" s="20"/>
      <c r="K20" s="20"/>
      <c r="L20" s="20"/>
      <c r="M20" s="32"/>
      <c r="N20" s="32"/>
      <c r="O20" s="29"/>
      <c r="P20" s="31"/>
    </row>
    <row r="21" spans="1:16" s="19" customFormat="1" ht="15">
      <c r="A21" s="38"/>
      <c r="B21" s="20"/>
      <c r="C21" s="20"/>
      <c r="D21" s="37"/>
      <c r="E21" s="37"/>
      <c r="F21" s="37"/>
      <c r="G21" s="20" t="s">
        <v>161</v>
      </c>
      <c r="H21" s="30"/>
      <c r="I21" s="37"/>
      <c r="P21" s="4"/>
    </row>
    <row r="22" spans="1:16" s="19" customFormat="1" ht="15">
      <c r="A22" s="38"/>
      <c r="B22" s="20"/>
      <c r="C22" s="20"/>
      <c r="D22" s="37"/>
      <c r="E22" s="37"/>
      <c r="F22" s="37"/>
      <c r="G22" s="20" t="s">
        <v>99</v>
      </c>
      <c r="H22" s="30"/>
      <c r="I22" s="37"/>
      <c r="P22" s="4"/>
    </row>
    <row r="23" spans="1:9" s="19" customFormat="1" ht="10.5" customHeight="1">
      <c r="A23" s="38"/>
      <c r="B23" s="20"/>
      <c r="C23" s="20"/>
      <c r="D23" s="37"/>
      <c r="E23" s="37"/>
      <c r="F23" s="37"/>
      <c r="G23" s="20"/>
      <c r="H23" s="30"/>
      <c r="I23" s="37"/>
    </row>
    <row r="24" spans="1:9" s="19" customFormat="1" ht="15">
      <c r="A24" s="38"/>
      <c r="B24" s="20"/>
      <c r="C24" s="20"/>
      <c r="D24" s="37"/>
      <c r="E24" s="37"/>
      <c r="F24" s="37"/>
      <c r="G24" s="20" t="s">
        <v>162</v>
      </c>
      <c r="H24" s="30"/>
      <c r="I24" s="37"/>
    </row>
    <row r="25" spans="1:20" s="19" customFormat="1" ht="15">
      <c r="A25" s="38"/>
      <c r="B25" s="20"/>
      <c r="C25" s="20"/>
      <c r="D25" s="37"/>
      <c r="E25" s="37"/>
      <c r="F25" s="37"/>
      <c r="G25" s="20" t="s">
        <v>100</v>
      </c>
      <c r="H25" s="30"/>
      <c r="I25" s="37"/>
      <c r="O25"/>
      <c r="P25"/>
      <c r="Q25"/>
      <c r="R25"/>
      <c r="S25"/>
      <c r="T25"/>
    </row>
    <row r="26" spans="1:20" s="19" customFormat="1" ht="15">
      <c r="A26" s="38"/>
      <c r="B26" s="20"/>
      <c r="C26" s="20"/>
      <c r="D26" s="37"/>
      <c r="E26" s="37"/>
      <c r="F26" s="37"/>
      <c r="G26" s="20"/>
      <c r="H26" s="30"/>
      <c r="I26" s="37"/>
      <c r="O26"/>
      <c r="P26"/>
      <c r="Q26"/>
      <c r="R26"/>
      <c r="S26"/>
      <c r="T26"/>
    </row>
  </sheetData>
  <mergeCells count="7">
    <mergeCell ref="D6:T6"/>
    <mergeCell ref="D7:T7"/>
    <mergeCell ref="M9:N9"/>
    <mergeCell ref="D2:T2"/>
    <mergeCell ref="D3:T3"/>
    <mergeCell ref="D4:T4"/>
    <mergeCell ref="D5:T5"/>
  </mergeCells>
  <printOptions horizontalCentered="1"/>
  <pageMargins left="0.2755905511811024" right="0.2362204724409449" top="0.5905511811023623" bottom="0.31496062992125984" header="0" footer="0"/>
  <pageSetup fitToHeight="0" fitToWidth="1" horizontalDpi="600" verticalDpi="600" orientation="landscape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tabSelected="1" zoomScale="75" zoomScaleNormal="75" workbookViewId="0" topLeftCell="A1">
      <selection activeCell="C10" sqref="C10"/>
    </sheetView>
  </sheetViews>
  <sheetFormatPr defaultColWidth="9.00390625" defaultRowHeight="12.75"/>
  <cols>
    <col min="1" max="1" width="0.12890625" style="32" customWidth="1"/>
    <col min="2" max="2" width="4.50390625" style="32" customWidth="1"/>
    <col min="3" max="3" width="20.625" style="7" customWidth="1"/>
    <col min="4" max="4" width="12.875" style="12" customWidth="1"/>
    <col min="5" max="5" width="8.50390625" style="3" customWidth="1"/>
    <col min="6" max="6" width="7.625" style="3" customWidth="1"/>
    <col min="7" max="7" width="13.875" style="2" customWidth="1"/>
    <col min="8" max="8" width="26.00390625" style="10" customWidth="1"/>
    <col min="9" max="9" width="10.50390625" style="14" customWidth="1"/>
    <col min="10" max="10" width="14.50390625" style="3" customWidth="1"/>
    <col min="11" max="11" width="9.00390625" style="10" customWidth="1"/>
    <col min="12" max="12" width="12.625" style="1" customWidth="1"/>
    <col min="13" max="13" width="10.875" style="0" customWidth="1"/>
    <col min="14" max="14" width="15.125" style="0" customWidth="1"/>
    <col min="15" max="15" width="7.625" style="0" customWidth="1"/>
    <col min="16" max="16" width="7.875" style="0" customWidth="1"/>
    <col min="17" max="17" width="7.375" style="0" customWidth="1"/>
    <col min="18" max="18" width="6.625" style="0" customWidth="1"/>
    <col min="19" max="19" width="6.875" style="0" customWidth="1"/>
    <col min="20" max="20" width="9.50390625" style="0" customWidth="1"/>
  </cols>
  <sheetData>
    <row r="1" spans="3:11" ht="12.75">
      <c r="C1" s="32"/>
      <c r="D1" s="32"/>
      <c r="E1" s="32"/>
      <c r="F1" s="32"/>
      <c r="G1" s="33"/>
      <c r="H1" s="32"/>
      <c r="I1" s="21"/>
      <c r="J1"/>
      <c r="K1" s="29"/>
    </row>
    <row r="2" spans="2:20" s="4" customFormat="1" ht="22.5" customHeight="1">
      <c r="B2" s="15"/>
      <c r="C2" s="22"/>
      <c r="D2" s="61" t="s">
        <v>9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5"/>
    </row>
    <row r="3" spans="2:20" s="4" customFormat="1" ht="24" customHeight="1">
      <c r="B3" s="16"/>
      <c r="C3" s="23"/>
      <c r="D3" s="97" t="s">
        <v>10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5"/>
    </row>
    <row r="4" spans="2:20" s="4" customFormat="1" ht="19.5" customHeight="1">
      <c r="B4" s="16"/>
      <c r="C4" s="23"/>
      <c r="D4" s="98" t="s">
        <v>11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5"/>
    </row>
    <row r="5" spans="2:20" s="4" customFormat="1" ht="36.75" customHeight="1">
      <c r="B5" s="40" t="s">
        <v>6</v>
      </c>
      <c r="C5" s="24"/>
      <c r="D5" s="92" t="s">
        <v>82</v>
      </c>
      <c r="E5" s="96"/>
      <c r="F5" s="96"/>
      <c r="G5" s="96"/>
      <c r="H5" s="96"/>
      <c r="I5" s="96"/>
      <c r="J5" s="96"/>
      <c r="K5" s="96"/>
      <c r="L5" s="96"/>
      <c r="M5" s="94"/>
      <c r="N5" s="94"/>
      <c r="O5" s="94"/>
      <c r="P5" s="94"/>
      <c r="Q5" s="94"/>
      <c r="R5" s="94"/>
      <c r="S5" s="94"/>
      <c r="T5" s="95"/>
    </row>
    <row r="6" spans="2:20" s="4" customFormat="1" ht="15" customHeight="1">
      <c r="B6" s="17" t="s">
        <v>7</v>
      </c>
      <c r="C6" s="25"/>
      <c r="D6" s="100" t="s">
        <v>101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5"/>
    </row>
    <row r="7" spans="2:20" s="4" customFormat="1" ht="18.75" customHeight="1">
      <c r="B7" s="17" t="s">
        <v>8</v>
      </c>
      <c r="C7" s="25"/>
      <c r="D7" s="99" t="s">
        <v>102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5"/>
    </row>
    <row r="8" spans="2:20" s="4" customFormat="1" ht="18.75" customHeight="1">
      <c r="B8" s="43"/>
      <c r="C8" s="8"/>
      <c r="D8" s="44"/>
      <c r="E8" s="44"/>
      <c r="F8" s="45"/>
      <c r="G8" s="46"/>
      <c r="H8" s="46"/>
      <c r="I8" s="47" t="s">
        <v>12</v>
      </c>
      <c r="J8" s="44"/>
      <c r="K8" s="48"/>
      <c r="L8" s="45"/>
      <c r="M8" s="44"/>
      <c r="N8" s="44"/>
      <c r="O8" s="44"/>
      <c r="P8" s="44"/>
      <c r="Q8" s="44"/>
      <c r="R8" s="44"/>
      <c r="S8" s="44"/>
      <c r="T8" s="49"/>
    </row>
    <row r="9" spans="2:20" s="26" customFormat="1" ht="26.25">
      <c r="B9" s="18" t="s">
        <v>0</v>
      </c>
      <c r="C9" s="27" t="s">
        <v>17</v>
      </c>
      <c r="D9" s="27" t="s">
        <v>18</v>
      </c>
      <c r="E9" s="27" t="s">
        <v>19</v>
      </c>
      <c r="F9" s="28" t="s">
        <v>20</v>
      </c>
      <c r="G9" s="28" t="s">
        <v>21</v>
      </c>
      <c r="H9" s="28" t="s">
        <v>13</v>
      </c>
      <c r="I9" s="28" t="s">
        <v>14</v>
      </c>
      <c r="J9" s="28" t="s">
        <v>2</v>
      </c>
      <c r="K9" s="28" t="s">
        <v>15</v>
      </c>
      <c r="L9" s="27" t="s">
        <v>16</v>
      </c>
      <c r="M9" s="92" t="s">
        <v>81</v>
      </c>
      <c r="N9" s="93"/>
      <c r="O9" s="27" t="s">
        <v>85</v>
      </c>
      <c r="P9" s="27" t="s">
        <v>86</v>
      </c>
      <c r="Q9" s="27" t="s">
        <v>87</v>
      </c>
      <c r="R9" s="27" t="s">
        <v>88</v>
      </c>
      <c r="S9" s="27" t="s">
        <v>89</v>
      </c>
      <c r="T9" s="27" t="s">
        <v>90</v>
      </c>
    </row>
    <row r="10" spans="2:20" s="4" customFormat="1" ht="69" customHeight="1">
      <c r="B10" s="18">
        <v>1</v>
      </c>
      <c r="C10" s="9" t="s">
        <v>27</v>
      </c>
      <c r="D10" s="41" t="s">
        <v>28</v>
      </c>
      <c r="E10" s="18">
        <v>10</v>
      </c>
      <c r="F10" s="11" t="s">
        <v>29</v>
      </c>
      <c r="G10" s="5" t="s">
        <v>30</v>
      </c>
      <c r="H10" s="5" t="s">
        <v>32</v>
      </c>
      <c r="I10" s="50" t="s">
        <v>31</v>
      </c>
      <c r="J10" s="5" t="s">
        <v>33</v>
      </c>
      <c r="K10" s="6">
        <v>1</v>
      </c>
      <c r="L10" s="18" t="s">
        <v>26</v>
      </c>
      <c r="M10" s="42" t="s">
        <v>35</v>
      </c>
      <c r="N10" s="51" t="s">
        <v>34</v>
      </c>
      <c r="O10" s="18">
        <f>25+70+70</f>
        <v>165</v>
      </c>
      <c r="P10" s="18">
        <f>45+70+70</f>
        <v>185</v>
      </c>
      <c r="Q10" s="18">
        <f>15+35+35</f>
        <v>85</v>
      </c>
      <c r="R10" s="18">
        <f>0+20+20</f>
        <v>40</v>
      </c>
      <c r="S10" s="18">
        <f>15+20+20</f>
        <v>55</v>
      </c>
      <c r="T10" s="6">
        <f aca="true" t="shared" si="0" ref="T10:T15">SUM(O10:S10)</f>
        <v>530</v>
      </c>
    </row>
    <row r="11" spans="2:20" s="4" customFormat="1" ht="91.5" customHeight="1">
      <c r="B11" s="18">
        <v>2</v>
      </c>
      <c r="C11" s="9" t="s">
        <v>4</v>
      </c>
      <c r="D11" s="11" t="s">
        <v>37</v>
      </c>
      <c r="E11" s="18">
        <v>9</v>
      </c>
      <c r="F11" s="11" t="s">
        <v>38</v>
      </c>
      <c r="G11" s="5" t="s">
        <v>30</v>
      </c>
      <c r="H11" s="5" t="s">
        <v>39</v>
      </c>
      <c r="I11" s="52" t="s">
        <v>1</v>
      </c>
      <c r="J11" s="5" t="s">
        <v>40</v>
      </c>
      <c r="K11" s="6">
        <v>2</v>
      </c>
      <c r="L11" s="18" t="s">
        <v>36</v>
      </c>
      <c r="M11" s="42" t="s">
        <v>41</v>
      </c>
      <c r="N11" s="51" t="s">
        <v>94</v>
      </c>
      <c r="O11" s="18">
        <f>30+70+70</f>
        <v>170</v>
      </c>
      <c r="P11" s="18">
        <f>0+50+50</f>
        <v>100</v>
      </c>
      <c r="Q11" s="18">
        <f>-10+28+28</f>
        <v>46</v>
      </c>
      <c r="R11" s="18">
        <f>10+20+20</f>
        <v>50</v>
      </c>
      <c r="S11" s="18">
        <f>10+20+20</f>
        <v>50</v>
      </c>
      <c r="T11" s="6">
        <f t="shared" si="0"/>
        <v>416</v>
      </c>
    </row>
    <row r="12" spans="2:20" s="4" customFormat="1" ht="96" customHeight="1">
      <c r="B12" s="18">
        <v>3</v>
      </c>
      <c r="C12" s="9" t="s">
        <v>43</v>
      </c>
      <c r="D12" s="41" t="s">
        <v>44</v>
      </c>
      <c r="E12" s="18">
        <v>12</v>
      </c>
      <c r="F12" s="11" t="s">
        <v>29</v>
      </c>
      <c r="G12" s="5" t="s">
        <v>30</v>
      </c>
      <c r="H12" s="5" t="s">
        <v>45</v>
      </c>
      <c r="I12" s="52" t="s">
        <v>1</v>
      </c>
      <c r="J12" s="5" t="s">
        <v>46</v>
      </c>
      <c r="K12" s="6">
        <v>3</v>
      </c>
      <c r="L12" s="18" t="s">
        <v>42</v>
      </c>
      <c r="M12" s="42" t="s">
        <v>35</v>
      </c>
      <c r="N12" s="51" t="s">
        <v>84</v>
      </c>
      <c r="O12" s="18">
        <f>30+25+25</f>
        <v>80</v>
      </c>
      <c r="P12" s="18">
        <f>0+8+8</f>
        <v>16</v>
      </c>
      <c r="Q12" s="18">
        <f>10+10+10</f>
        <v>30</v>
      </c>
      <c r="R12" s="18">
        <f>0+9+9</f>
        <v>18</v>
      </c>
      <c r="S12" s="18">
        <f>20+20+20</f>
        <v>60</v>
      </c>
      <c r="T12" s="6">
        <f t="shared" si="0"/>
        <v>204</v>
      </c>
    </row>
    <row r="13" spans="2:20" s="4" customFormat="1" ht="44.25" customHeight="1">
      <c r="B13" s="18">
        <v>4</v>
      </c>
      <c r="C13" s="5" t="s">
        <v>55</v>
      </c>
      <c r="D13" s="41" t="s">
        <v>56</v>
      </c>
      <c r="E13" s="18">
        <v>8</v>
      </c>
      <c r="F13" s="11" t="s">
        <v>29</v>
      </c>
      <c r="G13" s="5" t="s">
        <v>57</v>
      </c>
      <c r="H13" s="5" t="s">
        <v>5</v>
      </c>
      <c r="I13" s="52" t="s">
        <v>1</v>
      </c>
      <c r="J13" s="5" t="s">
        <v>58</v>
      </c>
      <c r="K13" s="18">
        <v>4</v>
      </c>
      <c r="L13" s="18" t="s">
        <v>54</v>
      </c>
      <c r="M13" s="42" t="s">
        <v>35</v>
      </c>
      <c r="N13" s="51" t="s">
        <v>91</v>
      </c>
      <c r="O13" s="18">
        <f>30+48+48</f>
        <v>126</v>
      </c>
      <c r="P13" s="18">
        <f>0+8+8</f>
        <v>16</v>
      </c>
      <c r="Q13" s="18">
        <f>0+0+0</f>
        <v>0</v>
      </c>
      <c r="R13" s="18">
        <f>0+11+11</f>
        <v>22</v>
      </c>
      <c r="S13" s="18">
        <f>0+0+0</f>
        <v>0</v>
      </c>
      <c r="T13" s="18">
        <f>SUM(O13:S13)</f>
        <v>164</v>
      </c>
    </row>
    <row r="14" spans="2:20" s="4" customFormat="1" ht="159.75" customHeight="1">
      <c r="B14" s="18">
        <v>5</v>
      </c>
      <c r="C14" s="5" t="s">
        <v>48</v>
      </c>
      <c r="D14" s="41" t="s">
        <v>49</v>
      </c>
      <c r="E14" s="18">
        <v>6</v>
      </c>
      <c r="F14" s="11" t="s">
        <v>3</v>
      </c>
      <c r="G14" s="5" t="s">
        <v>50</v>
      </c>
      <c r="H14" s="5" t="s">
        <v>51</v>
      </c>
      <c r="I14" s="52" t="s">
        <v>1</v>
      </c>
      <c r="J14" s="5" t="s">
        <v>52</v>
      </c>
      <c r="K14" s="18">
        <v>5</v>
      </c>
      <c r="L14" s="18" t="s">
        <v>47</v>
      </c>
      <c r="M14" s="42" t="s">
        <v>53</v>
      </c>
      <c r="N14" s="11" t="s">
        <v>93</v>
      </c>
      <c r="O14" s="18">
        <f>50+50+50</f>
        <v>150</v>
      </c>
      <c r="P14" s="18">
        <f>0+8+8</f>
        <v>16</v>
      </c>
      <c r="Q14" s="18">
        <f>-40-10-10</f>
        <v>-60</v>
      </c>
      <c r="R14" s="18">
        <f>0+12+12</f>
        <v>24</v>
      </c>
      <c r="S14" s="18">
        <f>5+9+9</f>
        <v>23</v>
      </c>
      <c r="T14" s="18">
        <f t="shared" si="0"/>
        <v>153</v>
      </c>
    </row>
    <row r="15" spans="2:20" s="4" customFormat="1" ht="48" customHeight="1">
      <c r="B15" s="18">
        <v>6</v>
      </c>
      <c r="C15" s="5" t="s">
        <v>55</v>
      </c>
      <c r="D15" s="11" t="s">
        <v>60</v>
      </c>
      <c r="E15" s="18">
        <v>6</v>
      </c>
      <c r="F15" s="11" t="s">
        <v>61</v>
      </c>
      <c r="G15" s="5" t="s">
        <v>83</v>
      </c>
      <c r="H15" s="5" t="s">
        <v>62</v>
      </c>
      <c r="I15" s="52" t="s">
        <v>1</v>
      </c>
      <c r="J15" s="13" t="s">
        <v>63</v>
      </c>
      <c r="K15" s="18">
        <v>6</v>
      </c>
      <c r="L15" s="18" t="s">
        <v>59</v>
      </c>
      <c r="M15" s="42" t="s">
        <v>35</v>
      </c>
      <c r="N15" s="51" t="s">
        <v>95</v>
      </c>
      <c r="O15" s="18">
        <f>35+20+20</f>
        <v>75</v>
      </c>
      <c r="P15" s="18">
        <f>0+0+0</f>
        <v>0</v>
      </c>
      <c r="Q15" s="18">
        <f>0+0+0</f>
        <v>0</v>
      </c>
      <c r="R15" s="18">
        <f>0+0+0</f>
        <v>0</v>
      </c>
      <c r="S15" s="18">
        <f>0+0+0</f>
        <v>0</v>
      </c>
      <c r="T15" s="18">
        <f t="shared" si="0"/>
        <v>75</v>
      </c>
    </row>
    <row r="16" spans="2:21" s="4" customFormat="1" ht="163.5" customHeight="1">
      <c r="B16" s="18">
        <v>7</v>
      </c>
      <c r="C16" s="5" t="s">
        <v>65</v>
      </c>
      <c r="D16" s="41" t="s">
        <v>66</v>
      </c>
      <c r="E16" s="18">
        <v>4</v>
      </c>
      <c r="F16" s="11" t="s">
        <v>67</v>
      </c>
      <c r="G16" s="5" t="s">
        <v>68</v>
      </c>
      <c r="H16" s="5" t="s">
        <v>69</v>
      </c>
      <c r="I16" s="52" t="s">
        <v>1</v>
      </c>
      <c r="J16" s="5" t="s">
        <v>70</v>
      </c>
      <c r="K16" s="18">
        <v>7</v>
      </c>
      <c r="L16" s="18" t="s">
        <v>64</v>
      </c>
      <c r="M16" s="42" t="s">
        <v>71</v>
      </c>
      <c r="N16" s="51" t="s">
        <v>96</v>
      </c>
      <c r="O16" s="18">
        <f>20+15+15</f>
        <v>50</v>
      </c>
      <c r="P16" s="18">
        <f>0+0+0</f>
        <v>0</v>
      </c>
      <c r="Q16" s="18">
        <f>-10-3-3</f>
        <v>-16</v>
      </c>
      <c r="R16" s="18">
        <f>0+0+0</f>
        <v>0</v>
      </c>
      <c r="S16" s="18">
        <f>0+0+0</f>
        <v>0</v>
      </c>
      <c r="T16" s="18">
        <f>SUM(O16:S16)</f>
        <v>34</v>
      </c>
      <c r="U16" s="34"/>
    </row>
    <row r="17" spans="2:21" s="4" customFormat="1" ht="76.5" customHeight="1">
      <c r="B17" s="18">
        <v>8</v>
      </c>
      <c r="C17" s="5" t="s">
        <v>73</v>
      </c>
      <c r="D17" s="41" t="s">
        <v>74</v>
      </c>
      <c r="E17" s="18">
        <v>10</v>
      </c>
      <c r="F17" s="11" t="s">
        <v>75</v>
      </c>
      <c r="G17" s="5" t="s">
        <v>30</v>
      </c>
      <c r="H17" s="5" t="s">
        <v>77</v>
      </c>
      <c r="I17" s="18" t="s">
        <v>76</v>
      </c>
      <c r="J17" s="5" t="s">
        <v>78</v>
      </c>
      <c r="K17" s="18">
        <v>8</v>
      </c>
      <c r="L17" s="18" t="s">
        <v>72</v>
      </c>
      <c r="M17" s="42" t="s">
        <v>53</v>
      </c>
      <c r="N17" s="51" t="s">
        <v>92</v>
      </c>
      <c r="O17" s="18">
        <f>25+15+15</f>
        <v>55</v>
      </c>
      <c r="P17" s="18">
        <f>0+0+0</f>
        <v>0</v>
      </c>
      <c r="Q17" s="18">
        <f>-20+0+0</f>
        <v>-20</v>
      </c>
      <c r="R17" s="18">
        <f>0-5-5</f>
        <v>-10</v>
      </c>
      <c r="S17" s="18">
        <f>0+0+0</f>
        <v>0</v>
      </c>
      <c r="T17" s="18">
        <f>SUM(O17:S17)</f>
        <v>25</v>
      </c>
      <c r="U17" s="34"/>
    </row>
    <row r="18" spans="1:21" ht="9.75" customHeight="1">
      <c r="A18" s="34"/>
      <c r="B18" s="34"/>
      <c r="O18" s="19"/>
      <c r="P18" s="19"/>
      <c r="Q18" s="19"/>
      <c r="R18" s="19"/>
      <c r="S18" s="19"/>
      <c r="T18" s="19"/>
      <c r="U18" s="19"/>
    </row>
    <row r="19" spans="1:15" s="19" customFormat="1" ht="15">
      <c r="A19" s="35"/>
      <c r="B19" s="20" t="s">
        <v>79</v>
      </c>
      <c r="C19" s="35"/>
      <c r="D19" s="36"/>
      <c r="E19" s="36"/>
      <c r="F19" s="36"/>
      <c r="G19" s="20" t="s">
        <v>22</v>
      </c>
      <c r="H19" s="30"/>
      <c r="I19" s="20" t="s">
        <v>79</v>
      </c>
      <c r="J19" s="35"/>
      <c r="K19" s="36"/>
      <c r="L19" s="36"/>
      <c r="M19" s="36"/>
      <c r="N19" s="20" t="s">
        <v>23</v>
      </c>
      <c r="O19" s="30"/>
    </row>
    <row r="20" spans="1:15" s="19" customFormat="1" ht="15">
      <c r="A20" s="35"/>
      <c r="B20" s="20" t="s">
        <v>97</v>
      </c>
      <c r="C20" s="35"/>
      <c r="D20" s="36"/>
      <c r="E20" s="36"/>
      <c r="F20" s="36"/>
      <c r="G20" s="20" t="s">
        <v>98</v>
      </c>
      <c r="H20" s="30"/>
      <c r="I20" s="20" t="s">
        <v>80</v>
      </c>
      <c r="J20" s="35"/>
      <c r="K20" s="36"/>
      <c r="L20" s="36"/>
      <c r="M20" s="36"/>
      <c r="N20" s="20" t="s">
        <v>100</v>
      </c>
      <c r="O20" s="30"/>
    </row>
    <row r="21" spans="1:9" s="19" customFormat="1" ht="9" customHeight="1">
      <c r="A21" s="35"/>
      <c r="B21" s="35"/>
      <c r="C21" s="35"/>
      <c r="D21" s="36"/>
      <c r="E21" s="36"/>
      <c r="F21" s="36"/>
      <c r="G21" s="20"/>
      <c r="H21" s="30"/>
      <c r="I21" s="36"/>
    </row>
    <row r="22" spans="1:9" s="19" customFormat="1" ht="15">
      <c r="A22" s="35"/>
      <c r="B22" s="20" t="s">
        <v>24</v>
      </c>
      <c r="C22" s="20"/>
      <c r="D22" s="36"/>
      <c r="E22" s="36"/>
      <c r="F22" s="36"/>
      <c r="G22" s="20" t="s">
        <v>25</v>
      </c>
      <c r="H22" s="30"/>
      <c r="I22" s="36"/>
    </row>
    <row r="23" spans="1:9" s="19" customFormat="1" ht="15">
      <c r="A23" s="35"/>
      <c r="B23" s="20"/>
      <c r="C23" s="20"/>
      <c r="D23" s="36"/>
      <c r="E23" s="36"/>
      <c r="F23" s="36"/>
      <c r="G23" s="20" t="s">
        <v>99</v>
      </c>
      <c r="H23" s="30"/>
      <c r="I23" s="36"/>
    </row>
    <row r="24" spans="1:9" s="19" customFormat="1" ht="8.25" customHeight="1">
      <c r="A24" s="35"/>
      <c r="B24" s="20"/>
      <c r="C24" s="20"/>
      <c r="D24" s="36"/>
      <c r="E24" s="36"/>
      <c r="F24" s="36"/>
      <c r="G24" s="20"/>
      <c r="H24" s="31"/>
      <c r="I24" s="37"/>
    </row>
    <row r="25" spans="1:9" s="19" customFormat="1" ht="12.75">
      <c r="A25" s="38"/>
      <c r="I25" s="36"/>
    </row>
    <row r="26" spans="1:21" s="19" customFormat="1" ht="12.75">
      <c r="A26" s="35"/>
      <c r="I26" s="36"/>
      <c r="O26"/>
      <c r="P26"/>
      <c r="Q26"/>
      <c r="R26"/>
      <c r="S26"/>
      <c r="T26"/>
      <c r="U26"/>
    </row>
    <row r="27" spans="1:12" ht="15">
      <c r="A27" s="39"/>
      <c r="B27" s="20"/>
      <c r="C27" s="20"/>
      <c r="D27" s="20"/>
      <c r="E27" s="34"/>
      <c r="F27" s="34"/>
      <c r="G27" s="29"/>
      <c r="H27" s="31"/>
      <c r="I27" s="32"/>
      <c r="J27"/>
      <c r="K27"/>
      <c r="L27"/>
    </row>
  </sheetData>
  <mergeCells count="7">
    <mergeCell ref="D7:T7"/>
    <mergeCell ref="M9:N9"/>
    <mergeCell ref="D2:T2"/>
    <mergeCell ref="D3:T3"/>
    <mergeCell ref="D4:T4"/>
    <mergeCell ref="D5:T5"/>
    <mergeCell ref="D6:T6"/>
  </mergeCells>
  <printOptions horizontalCentered="1"/>
  <pageMargins left="0.2755905511811024" right="0.2362204724409449" top="0.5905511811023623" bottom="0.31496062992125984" header="0" footer="0"/>
  <pageSetup fitToHeight="0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ЧУ-2003, водный туризм</dc:title>
  <dc:subject/>
  <dc:creator>Ю.А.</dc:creator>
  <cp:keywords/>
  <dc:description/>
  <cp:lastModifiedBy>гульнара</cp:lastModifiedBy>
  <cp:lastPrinted>2004-05-27T13:20:03Z</cp:lastPrinted>
  <dcterms:created xsi:type="dcterms:W3CDTF">1997-02-04T06:37:47Z</dcterms:created>
  <dcterms:modified xsi:type="dcterms:W3CDTF">2004-05-27T13:20:05Z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